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71 CONSORCIO HUATANAY - INTEGRAL OK\00 ANEXOS\Anexo 02 - Presupuesto\"/>
    </mc:Choice>
  </mc:AlternateContent>
  <xr:revisionPtr revIDLastSave="0" documentId="13_ncr:1_{5265527F-A0AB-4173-851F-81713507B5ED}" xr6:coauthVersionLast="47" xr6:coauthVersionMax="47" xr10:uidLastSave="{00000000-0000-0000-0000-000000000000}"/>
  <bookViews>
    <workbookView xWindow="-120" yWindow="-120" windowWidth="29040" windowHeight="15720" tabRatio="931" firstSheet="1" activeTab="1" xr2:uid="{00000000-000D-0000-FFFF-FFFF00000000}"/>
  </bookViews>
  <sheets>
    <sheet name="RESUMEN OFERTA" sheetId="8" r:id="rId1"/>
    <sheet name="Planilla de Cierre - META" sheetId="1" r:id="rId2"/>
    <sheet name="Indirectos Revisado" sheetId="9" state="hidden" r:id="rId3"/>
    <sheet name="Permanencia Staff" sheetId="10" state="hidden" r:id="rId4"/>
    <sheet name="CONTINGENCIAS" sheetId="18" state="hidden" r:id="rId5"/>
    <sheet name="Campamento" sheetId="15" state="hidden" r:id="rId6"/>
    <sheet name="Movilizacion" sheetId="17" state="hidden" r:id="rId7"/>
    <sheet name="PMA" sheetId="2" state="hidden" r:id="rId8"/>
    <sheet name="INT SOCIAL" sheetId="3" state="hidden" r:id="rId9"/>
    <sheet name="GEST AMBIENTAL" sheetId="4" state="hidden" r:id="rId10"/>
    <sheet name="PSSO" sheetId="5" state="hidden" r:id="rId11"/>
    <sheet name="PLAN GSMT" sheetId="6" state="hidden" r:id="rId12"/>
    <sheet name="ORG. PROYECTO" sheetId="21" state="hidden" r:id="rId13"/>
    <sheet name="Alcances-Actualiz. PPTO" sheetId="11" state="hidden" r:id="rId14"/>
  </sheets>
  <externalReferences>
    <externalReference r:id="rId15"/>
  </externalReferences>
  <definedNames>
    <definedName name="_________cal00001" localSheetId="6" hidden="1">{"'NOTES2'!$G$9:$J$27"}</definedName>
    <definedName name="_________cal00001" localSheetId="12" hidden="1">{"'NOTES2'!$G$9:$J$27"}</definedName>
    <definedName name="_________cal00001" localSheetId="3" hidden="1">{"'NOTES2'!$G$9:$J$27"}</definedName>
    <definedName name="_________cal00001" hidden="1">{"'NOTES2'!$G$9:$J$27"}</definedName>
    <definedName name="________cal00001" localSheetId="6" hidden="1">{"'NOTES2'!$G$9:$J$27"}</definedName>
    <definedName name="________cal00001" localSheetId="12" hidden="1">{"'NOTES2'!$G$9:$J$27"}</definedName>
    <definedName name="________cal00001" localSheetId="3" hidden="1">{"'NOTES2'!$G$9:$J$27"}</definedName>
    <definedName name="________cal00001" hidden="1">{"'NOTES2'!$G$9:$J$27"}</definedName>
    <definedName name="_______cal00001" localSheetId="6" hidden="1">{"'NOTES2'!$G$9:$J$27"}</definedName>
    <definedName name="_______cal00001" localSheetId="12" hidden="1">{"'NOTES2'!$G$9:$J$27"}</definedName>
    <definedName name="_______cal00001" localSheetId="3" hidden="1">{"'NOTES2'!$G$9:$J$27"}</definedName>
    <definedName name="_______cal00001" hidden="1">{"'NOTES2'!$G$9:$J$27"}</definedName>
    <definedName name="______cal00001" localSheetId="6" hidden="1">{"'NOTES2'!$G$9:$J$27"}</definedName>
    <definedName name="______cal00001" localSheetId="12" hidden="1">{"'NOTES2'!$G$9:$J$27"}</definedName>
    <definedName name="______cal00001" localSheetId="3" hidden="1">{"'NOTES2'!$G$9:$J$27"}</definedName>
    <definedName name="______cal00001" hidden="1">{"'NOTES2'!$G$9:$J$27"}</definedName>
    <definedName name="_____cal00001" localSheetId="6" hidden="1">{"'NOTES2'!$G$9:$J$27"}</definedName>
    <definedName name="_____cal00001" localSheetId="12" hidden="1">{"'NOTES2'!$G$9:$J$27"}</definedName>
    <definedName name="_____cal00001" localSheetId="3" hidden="1">{"'NOTES2'!$G$9:$J$27"}</definedName>
    <definedName name="_____cal00001" hidden="1">{"'NOTES2'!$G$9:$J$27"}</definedName>
    <definedName name="____cal00001" localSheetId="6" hidden="1">{"'NOTES2'!$G$9:$J$27"}</definedName>
    <definedName name="____cal00001" localSheetId="12" hidden="1">{"'NOTES2'!$G$9:$J$27"}</definedName>
    <definedName name="____cal00001" localSheetId="3" hidden="1">{"'NOTES2'!$G$9:$J$27"}</definedName>
    <definedName name="____cal00001" hidden="1">{"'NOTES2'!$G$9:$J$27"}</definedName>
    <definedName name="___cal00001" localSheetId="6" hidden="1">{"'NOTES2'!$G$9:$J$27"}</definedName>
    <definedName name="___cal00001" localSheetId="12" hidden="1">{"'NOTES2'!$G$9:$J$27"}</definedName>
    <definedName name="___cal00001" localSheetId="3" hidden="1">{"'NOTES2'!$G$9:$J$27"}</definedName>
    <definedName name="___cal00001" hidden="1">{"'NOTES2'!$G$9:$J$27"}</definedName>
    <definedName name="__123Graph_C" localSheetId="2" hidden="1">#REF!</definedName>
    <definedName name="__123Graph_C" localSheetId="12" hidden="1">#REF!</definedName>
    <definedName name="__123Graph_C" localSheetId="3" hidden="1">#REF!</definedName>
    <definedName name="__123Graph_C" hidden="1">#REF!</definedName>
    <definedName name="__123Graph_D" localSheetId="2" hidden="1">#REF!</definedName>
    <definedName name="__123Graph_D" localSheetId="12" hidden="1">#REF!</definedName>
    <definedName name="__123Graph_D" localSheetId="3" hidden="1">#REF!</definedName>
    <definedName name="__123Graph_D" hidden="1">#REF!</definedName>
    <definedName name="__123Graph_E" localSheetId="2" hidden="1">#REF!</definedName>
    <definedName name="__123Graph_E" localSheetId="12" hidden="1">#REF!</definedName>
    <definedName name="__123Graph_E" localSheetId="3" hidden="1">#REF!</definedName>
    <definedName name="__123Graph_E" hidden="1">#REF!</definedName>
    <definedName name="__123Graph_F" localSheetId="2" hidden="1">#REF!</definedName>
    <definedName name="__123Graph_F" localSheetId="12" hidden="1">#REF!</definedName>
    <definedName name="__123Graph_F" localSheetId="3" hidden="1">#REF!</definedName>
    <definedName name="__123Graph_F" hidden="1">#REF!</definedName>
    <definedName name="__123Graph_X" localSheetId="2" hidden="1">#REF!</definedName>
    <definedName name="__123Graph_X" localSheetId="12" hidden="1">#REF!</definedName>
    <definedName name="__123Graph_X" localSheetId="3" hidden="1">#REF!</definedName>
    <definedName name="__123Graph_X" hidden="1">#REF!</definedName>
    <definedName name="__cal00001" localSheetId="6" hidden="1">{"'NOTES2'!$G$9:$J$27"}</definedName>
    <definedName name="__cal00001" localSheetId="12" hidden="1">{"'NOTES2'!$G$9:$J$27"}</definedName>
    <definedName name="__cal00001" localSheetId="3" hidden="1">{"'NOTES2'!$G$9:$J$27"}</definedName>
    <definedName name="__cal00001" hidden="1">{"'NOTES2'!$G$9:$J$27"}</definedName>
    <definedName name="_a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al00001" localSheetId="6" hidden="1">{"'NOTES2'!$G$9:$J$27"}</definedName>
    <definedName name="_cal00001" localSheetId="12" hidden="1">{"'NOTES2'!$G$9:$J$27"}</definedName>
    <definedName name="_cal00001" localSheetId="3" hidden="1">{"'NOTES2'!$G$9:$J$27"}</definedName>
    <definedName name="_cal00001" hidden="1">{"'NOTES2'!$G$9:$J$27"}</definedName>
    <definedName name="_CCC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lnm._FilterDatabase" localSheetId="9" hidden="1">'GEST AMBIENTAL'!$B$7:$H$50</definedName>
    <definedName name="_xlnm._FilterDatabase" localSheetId="2" hidden="1">'Indirectos Revisado'!$A$6:$J$88</definedName>
    <definedName name="_xlnm._FilterDatabase" localSheetId="1" hidden="1">'Planilla de Cierre - META'!$B$7:$G$7</definedName>
    <definedName name="_Hlk121440665" localSheetId="7">PMA!$B$4</definedName>
    <definedName name="_Key1" localSheetId="2" hidden="1">#REF!</definedName>
    <definedName name="_Key1" localSheetId="1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2" hidden="1">#REF!</definedName>
    <definedName name="_Key2" localSheetId="3" hidden="1">#REF!</definedName>
    <definedName name="_Key2" hidden="1">#REF!</definedName>
    <definedName name="_NNN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Order1" hidden="1">255</definedName>
    <definedName name="_Order2" hidden="1">0</definedName>
    <definedName name="_qq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egression_Out" localSheetId="2" hidden="1">#REF!</definedName>
    <definedName name="_Regression_Out" localSheetId="12" hidden="1">#REF!</definedName>
    <definedName name="_Regression_Out" localSheetId="3" hidden="1">#REF!</definedName>
    <definedName name="_Regression_Out" hidden="1">#REF!</definedName>
    <definedName name="_Regression_X" localSheetId="2" hidden="1">#REF!</definedName>
    <definedName name="_Regression_X" localSheetId="12" hidden="1">#REF!</definedName>
    <definedName name="_Regression_X" localSheetId="3" hidden="1">#REF!</definedName>
    <definedName name="_Regression_X" hidden="1">#REF!</definedName>
    <definedName name="_Regression_Y" localSheetId="2" hidden="1">#REF!</definedName>
    <definedName name="_Regression_Y" localSheetId="12" hidden="1">#REF!</definedName>
    <definedName name="_Regression_Y" localSheetId="3" hidden="1">#REF!</definedName>
    <definedName name="_Regression_Y" hidden="1">#REF!</definedName>
    <definedName name="_rr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ort" localSheetId="2" hidden="1">#REF!</definedName>
    <definedName name="_Sort" localSheetId="12" hidden="1">#REF!</definedName>
    <definedName name="_Sort" localSheetId="3" hidden="1">#REF!</definedName>
    <definedName name="_Sort" hidden="1">#REF!</definedName>
    <definedName name="_TI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oc67484983" localSheetId="1">'Planilla de Cierre - META'!$B$3</definedName>
    <definedName name="_tt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" localSheetId="6" hidden="1">{"'NOTES2'!$G$9:$J$27"}</definedName>
    <definedName name="AA" localSheetId="12" hidden="1">{"'NOTES2'!$G$9:$J$27"}</definedName>
    <definedName name="AA" localSheetId="3" hidden="1">{"'NOTES2'!$G$9:$J$27"}</definedName>
    <definedName name="AA" hidden="1">{"'NOTES2'!$G$9:$J$27"}</definedName>
    <definedName name="aaaaa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scount" hidden="1">3</definedName>
    <definedName name="_xlnm.Print_Area" localSheetId="13">'Alcances-Actualiz. PPTO'!$A$1:$E$18</definedName>
    <definedName name="_xlnm.Print_Area" localSheetId="9">'GEST AMBIENTAL'!$A$1:$H$62</definedName>
    <definedName name="_xlnm.Print_Area" localSheetId="2">'Indirectos Revisado'!$AA$6:$AL$97</definedName>
    <definedName name="_xlnm.Print_Area" localSheetId="8">'INT SOCIAL'!$A$1:$H$38</definedName>
    <definedName name="_xlnm.Print_Area" localSheetId="12">'ORG. PROYECTO'!$A$1:$AJ$70</definedName>
    <definedName name="_xlnm.Print_Area" localSheetId="3">'Permanencia Staff'!$A$2:$Y$51</definedName>
    <definedName name="_xlnm.Print_Area" localSheetId="11">'PLAN GSMT'!$A$1:$H$24</definedName>
    <definedName name="_xlnm.Print_Area" localSheetId="1">'Planilla de Cierre - META'!$B$1:$G$2757</definedName>
    <definedName name="_xlnm.Print_Area" localSheetId="7">PMA!$A$1:$H$28</definedName>
    <definedName name="_xlnm.Print_Area" localSheetId="10">PSSO!$A$1:$H$29</definedName>
    <definedName name="_xlnm.Print_Area" localSheetId="0">'RESUMEN OFERTA'!$A$1:$G$37</definedName>
    <definedName name="AS" localSheetId="6" hidden="1">{"'input-data'!$B$5:$R$22"}</definedName>
    <definedName name="AS" localSheetId="12" hidden="1">{"'input-data'!$B$5:$R$22"}</definedName>
    <definedName name="AS" localSheetId="3" hidden="1">{"'input-data'!$B$5:$R$22"}</definedName>
    <definedName name="AS" hidden="1">{"'input-data'!$B$5:$R$22"}</definedName>
    <definedName name="AT" localSheetId="6" hidden="1">{"'input-data'!$B$5:$R$22"}</definedName>
    <definedName name="AT" localSheetId="12" hidden="1">{"'input-data'!$B$5:$R$22"}</definedName>
    <definedName name="AT" localSheetId="3" hidden="1">{"'input-data'!$B$5:$R$22"}</definedName>
    <definedName name="AT" hidden="1">{"'input-data'!$B$5:$R$22"}</definedName>
    <definedName name="BLPH10" localSheetId="2" hidden="1">#REF!</definedName>
    <definedName name="BLPH10" localSheetId="12" hidden="1">#REF!</definedName>
    <definedName name="BLPH10" localSheetId="3" hidden="1">#REF!</definedName>
    <definedName name="BLPH10" hidden="1">#REF!</definedName>
    <definedName name="BLPH23" localSheetId="2" hidden="1">#REF!</definedName>
    <definedName name="BLPH23" localSheetId="12" hidden="1">#REF!</definedName>
    <definedName name="BLPH23" localSheetId="3" hidden="1">#REF!</definedName>
    <definedName name="BLPH23" hidden="1">#REF!</definedName>
    <definedName name="BLPH24" localSheetId="2" hidden="1">#REF!</definedName>
    <definedName name="BLPH24" localSheetId="12" hidden="1">#REF!</definedName>
    <definedName name="BLPH24" localSheetId="3" hidden="1">#REF!</definedName>
    <definedName name="BLPH24" hidden="1">#REF!</definedName>
    <definedName name="BLPH25" localSheetId="2" hidden="1">#REF!</definedName>
    <definedName name="BLPH25" localSheetId="12" hidden="1">#REF!</definedName>
    <definedName name="BLPH25" localSheetId="3" hidden="1">#REF!</definedName>
    <definedName name="BLPH25" hidden="1">#REF!</definedName>
    <definedName name="BS" localSheetId="6" hidden="1">{"'input-data'!$B$5:$R$22"}</definedName>
    <definedName name="BS" localSheetId="12" hidden="1">{"'input-data'!$B$5:$R$22"}</definedName>
    <definedName name="BS" localSheetId="3" hidden="1">{"'input-data'!$B$5:$R$22"}</definedName>
    <definedName name="BS" hidden="1">{"'input-data'!$B$5:$R$22"}</definedName>
    <definedName name="CBWorkbookPriority" hidden="1">-1939848062</definedName>
    <definedName name="CC" localSheetId="6" hidden="1">{"'NOTES2'!$G$9:$J$27"}</definedName>
    <definedName name="CC" localSheetId="12" hidden="1">{"'NOTES2'!$G$9:$J$27"}</definedName>
    <definedName name="CC" localSheetId="3" hidden="1">{"'NOTES2'!$G$9:$J$27"}</definedName>
    <definedName name="CC" hidden="1">{"'NOTES2'!$G$9:$J$27"}</definedName>
    <definedName name="CCC" localSheetId="6" hidden="1">{"'NOTES2'!$G$9:$J$27"}</definedName>
    <definedName name="CCC" localSheetId="12" hidden="1">{"'NOTES2'!$G$9:$J$27"}</definedName>
    <definedName name="CCC" localSheetId="3" hidden="1">{"'NOTES2'!$G$9:$J$27"}</definedName>
    <definedName name="CCC" hidden="1">{"'NOTES2'!$G$9:$J$27"}</definedName>
    <definedName name="copiaranch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lete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ME_BeforeCloseCompleted" hidden="1">"False"</definedName>
    <definedName name="DME_Dirty" hidden="1">"False"</definedName>
    <definedName name="DME_LocalFile" hidden="1">"True"</definedName>
    <definedName name="e" localSheetId="6" hidden="1">{"'input-data'!$B$5:$R$22"}</definedName>
    <definedName name="e" localSheetId="12" hidden="1">{"'input-data'!$B$5:$R$22"}</definedName>
    <definedName name="e" localSheetId="3" hidden="1">{"'input-data'!$B$5:$R$22"}</definedName>
    <definedName name="e" hidden="1">{"'input-data'!$B$5:$R$22"}</definedName>
    <definedName name="EDC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structura" localSheetId="6" hidden="1">{"'input-data'!$B$5:$R$22"}</definedName>
    <definedName name="estructura" localSheetId="12" hidden="1">{"'input-data'!$B$5:$R$22"}</definedName>
    <definedName name="estructura" localSheetId="3" hidden="1">{"'input-data'!$B$5:$R$22"}</definedName>
    <definedName name="estructura" hidden="1">{"'input-data'!$B$5:$R$22"}</definedName>
    <definedName name="ExecFerro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JNFY" localSheetId="6" hidden="1">{"'NOTES2'!$G$9:$J$27"}</definedName>
    <definedName name="FGJNFY" localSheetId="12" hidden="1">{"'NOTES2'!$G$9:$J$27"}</definedName>
    <definedName name="FGJNFY" localSheetId="3" hidden="1">{"'NOTES2'!$G$9:$J$27"}</definedName>
    <definedName name="FGJNFY" hidden="1">{"'NOTES2'!$G$9:$J$27"}</definedName>
    <definedName name="FornosBOZ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ea" localSheetId="6" hidden="1">{"'NOTES2'!$G$9:$J$27"}</definedName>
    <definedName name="hea" localSheetId="12" hidden="1">{"'NOTES2'!$G$9:$J$27"}</definedName>
    <definedName name="hea" localSheetId="3" hidden="1">{"'NOTES2'!$G$9:$J$27"}</definedName>
    <definedName name="hea" hidden="1">{"'NOTES2'!$G$9:$J$27"}</definedName>
    <definedName name="HHH" localSheetId="6" hidden="1">{"'NOTES2'!$G$9:$J$27"}</definedName>
    <definedName name="HHH" localSheetId="12" hidden="1">{"'NOTES2'!$G$9:$J$27"}</definedName>
    <definedName name="HHH" localSheetId="3" hidden="1">{"'NOTES2'!$G$9:$J$27"}</definedName>
    <definedName name="HHH" hidden="1">{"'NOTES2'!$G$9:$J$27"}</definedName>
    <definedName name="HHHH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OJA" localSheetId="6" hidden="1">{#N/A,#N/A,FALSE,"Hoja1";#N/A,#N/A,FALSE,"Hoja2"}</definedName>
    <definedName name="HOJA" localSheetId="12" hidden="1">{#N/A,#N/A,FALSE,"Hoja1";#N/A,#N/A,FALSE,"Hoja2"}</definedName>
    <definedName name="HOJA" localSheetId="3" hidden="1">{#N/A,#N/A,FALSE,"Hoja1";#N/A,#N/A,FALSE,"Hoja2"}</definedName>
    <definedName name="HOJA" hidden="1">{#N/A,#N/A,FALSE,"Hoja1";#N/A,#N/A,FALSE,"Hoja2"}</definedName>
    <definedName name="HTML_CodePage" hidden="1">1252</definedName>
    <definedName name="HTML_Control" localSheetId="6" hidden="1">{"'NOTES2'!$G$9:$J$27"}</definedName>
    <definedName name="HTML_Control" localSheetId="12" hidden="1">{"'NOTES2'!$G$9:$J$27"}</definedName>
    <definedName name="HTML_Control" localSheetId="3" hidden="1">{"'NOTES2'!$G$9:$J$27"}</definedName>
    <definedName name="HTML_Control" hidden="1">{"'NOTES2'!$G$9:$J$27"}</definedName>
    <definedName name="HTML_Description" hidden="1">""</definedName>
    <definedName name="HTML_Email" hidden="1">""</definedName>
    <definedName name="HTML_Header" hidden="1">"NOTES1 (2)"</definedName>
    <definedName name="HTML_LastUpdate" hidden="1">"03-May-99"</definedName>
    <definedName name="HTML_LineAfter" hidden="1">FALSE</definedName>
    <definedName name="HTML_LineBefore" hidden="1">FALSE</definedName>
    <definedName name="HTML_Name" hidden="1">"Yong-Mun, Choi"</definedName>
    <definedName name="HTML_OBDlg2" hidden="1">TRUE</definedName>
    <definedName name="HTML_OBDlg4" hidden="1">TRUE</definedName>
    <definedName name="HTML_OS" hidden="1">0</definedName>
    <definedName name="HTML_PathFile" hidden="1">"C:\project(98140)\instru\control_vlv\MyHTML1.htm"</definedName>
    <definedName name="HTML_Title" hidden="1">"H46ISS310GA"</definedName>
    <definedName name="i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" localSheetId="6" hidden="1">{"'NOTES2'!$G$9:$J$27"}</definedName>
    <definedName name="KKK" localSheetId="12" hidden="1">{"'NOTES2'!$G$9:$J$27"}</definedName>
    <definedName name="KKK" localSheetId="3" hidden="1">{"'NOTES2'!$G$9:$J$27"}</definedName>
    <definedName name="KKK" hidden="1">{"'NOTES2'!$G$9:$J$27"}</definedName>
    <definedName name="legal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mcount" hidden="1">1</definedName>
    <definedName name="lll" localSheetId="6" hidden="1">{"'input-data'!$B$5:$R$22"}</definedName>
    <definedName name="lll" localSheetId="12" hidden="1">{"'input-data'!$B$5:$R$22"}</definedName>
    <definedName name="lll" localSheetId="3" hidden="1">{"'input-data'!$B$5:$R$22"}</definedName>
    <definedName name="lll" hidden="1">{"'input-data'!$B$5:$R$22"}</definedName>
    <definedName name="LLLL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B" localSheetId="6" hidden="1">{"'NOTES2'!$G$9:$J$27"}</definedName>
    <definedName name="NB" localSheetId="12" hidden="1">{"'NOTES2'!$G$9:$J$27"}</definedName>
    <definedName name="NB" localSheetId="3" hidden="1">{"'NOTES2'!$G$9:$J$27"}</definedName>
    <definedName name="NB" hidden="1">{"'NOTES2'!$G$9:$J$27"}</definedName>
    <definedName name="NNNNN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RE" localSheetId="6" hidden="1">{"'NOTES2'!$G$9:$J$27"}</definedName>
    <definedName name="ORE" localSheetId="12" hidden="1">{"'NOTES2'!$G$9:$J$27"}</definedName>
    <definedName name="ORE" localSheetId="3" hidden="1">{"'NOTES2'!$G$9:$J$27"}</definedName>
    <definedName name="ORE" hidden="1">{"'NOTES2'!$G$9:$J$27"}</definedName>
    <definedName name="PEPE" localSheetId="6" hidden="1">{"'NOTES2'!$G$9:$J$27"}</definedName>
    <definedName name="PEPE" localSheetId="12" hidden="1">{"'NOTES2'!$G$9:$J$27"}</definedName>
    <definedName name="PEPE" localSheetId="3" hidden="1">{"'NOTES2'!$G$9:$J$27"}</definedName>
    <definedName name="PEPE" hidden="1">{"'NOTES2'!$G$9:$J$27"}</definedName>
    <definedName name="ppp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localSheetId="6" hidden="1">{"'NOTES2'!$G$9:$J$27"}</definedName>
    <definedName name="QQ" localSheetId="12" hidden="1">{"'NOTES2'!$G$9:$J$27"}</definedName>
    <definedName name="QQ" localSheetId="3" hidden="1">{"'NOTES2'!$G$9:$J$27"}</definedName>
    <definedName name="QQ" hidden="1">{"'NOTES2'!$G$9:$J$27"}</definedName>
    <definedName name="QQQ" localSheetId="6" hidden="1">{"'NOTES2'!$G$9:$J$27"}</definedName>
    <definedName name="QQQ" localSheetId="12" hidden="1">{"'NOTES2'!$G$9:$J$27"}</definedName>
    <definedName name="QQQ" localSheetId="3" hidden="1">{"'NOTES2'!$G$9:$J$27"}</definedName>
    <definedName name="QQQ" hidden="1">{"'NOTES2'!$G$9:$J$27"}</definedName>
    <definedName name="QQQQQ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q" localSheetId="6" hidden="1">{"'NOTES2'!$G$9:$J$27"}</definedName>
    <definedName name="rfq" localSheetId="12" hidden="1">{"'NOTES2'!$G$9:$J$27"}</definedName>
    <definedName name="rfq" localSheetId="3" hidden="1">{"'NOTES2'!$G$9:$J$27"}</definedName>
    <definedName name="rfq" hidden="1">{"'NOTES2'!$G$9:$J$27"}</definedName>
    <definedName name="RFV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RRRR" localSheetId="6" hidden="1">{"'input-data'!$B$5:$R$22"}</definedName>
    <definedName name="RRRRR" localSheetId="12" hidden="1">{"'input-data'!$B$5:$R$22"}</definedName>
    <definedName name="RRRRR" localSheetId="3" hidden="1">{"'input-data'!$B$5:$R$22"}</definedName>
    <definedName name="RRRRR" hidden="1">{"'input-data'!$B$5:$R$22"}</definedName>
    <definedName name="s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" localSheetId="6" hidden="1">{"'NOTES2'!$G$9:$J$27"}</definedName>
    <definedName name="SDF" localSheetId="12" hidden="1">{"'NOTES2'!$G$9:$J$27"}</definedName>
    <definedName name="SDF" localSheetId="3" hidden="1">{"'NOTES2'!$G$9:$J$27"}</definedName>
    <definedName name="SDF" hidden="1">{"'NOTES2'!$G$9:$J$27"}</definedName>
    <definedName name="SDFD" localSheetId="6" hidden="1">{"'NOTES2'!$G$9:$J$27"}</definedName>
    <definedName name="SDFD" localSheetId="12" hidden="1">{"'NOTES2'!$G$9:$J$27"}</definedName>
    <definedName name="SDFD" localSheetId="3" hidden="1">{"'NOTES2'!$G$9:$J$27"}</definedName>
    <definedName name="SDFD" hidden="1">{"'NOTES2'!$G$9:$J$27"}</definedName>
    <definedName name="sencount" hidden="1">1</definedName>
    <definedName name="SESE" localSheetId="6" hidden="1">{"'NOTES2'!$G$9:$J$27"}</definedName>
    <definedName name="SESE" localSheetId="12" hidden="1">{"'NOTES2'!$G$9:$J$27"}</definedName>
    <definedName name="SESE" localSheetId="3" hidden="1">{"'NOTES2'!$G$9:$J$27"}</definedName>
    <definedName name="SESE" hidden="1">{"'NOTES2'!$G$9:$J$27"}</definedName>
    <definedName name="SHEET3" localSheetId="6" hidden="1">{"'NOTES2'!$G$9:$J$27"}</definedName>
    <definedName name="SHEET3" localSheetId="12" hidden="1">{"'NOTES2'!$G$9:$J$27"}</definedName>
    <definedName name="SHEET3" localSheetId="3" hidden="1">{"'NOTES2'!$G$9:$J$27"}</definedName>
    <definedName name="SHEET3" hidden="1">{"'NOTES2'!$G$9:$J$27"}</definedName>
    <definedName name="solver_adj" localSheetId="2" hidden="1">#REF!</definedName>
    <definedName name="solver_adj" localSheetId="12" hidden="1">#REF!</definedName>
    <definedName name="solver_adj" localSheetId="3" hidden="1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localSheetId="2" hidden="1">#REF!</definedName>
    <definedName name="solver_lhs1" localSheetId="12" hidden="1">#REF!</definedName>
    <definedName name="solver_lhs1" localSheetId="3" hidden="1">#REF!</definedName>
    <definedName name="solver_lhs1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2" hidden="1">#REF!</definedName>
    <definedName name="solver_opt" localSheetId="12" hidden="1">#REF!</definedName>
    <definedName name="solver_opt" localSheetId="3" hidden="1">#REF!</definedName>
    <definedName name="solver_opt" hidden="1">#REF!</definedName>
    <definedName name="solver_pre" hidden="1">0.000001</definedName>
    <definedName name="solver_rel1" hidden="1">3</definedName>
    <definedName name="solver_rhs1" hidden="1">0</definedName>
    <definedName name="solver_scl" hidden="1">1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localSheetId="6" hidden="1">{"'NOTES2'!$G$9:$J$27"}</definedName>
    <definedName name="SS" localSheetId="12" hidden="1">{"'NOTES2'!$G$9:$J$27"}</definedName>
    <definedName name="SS" localSheetId="3" hidden="1">{"'NOTES2'!$G$9:$J$27"}</definedName>
    <definedName name="SS" hidden="1">{"'NOTES2'!$G$9:$J$27"}</definedName>
    <definedName name="SSS" localSheetId="6" hidden="1">{"'NOTES2'!$G$9:$J$27"}</definedName>
    <definedName name="SSS" localSheetId="12" hidden="1">{"'NOTES2'!$G$9:$J$27"}</definedName>
    <definedName name="SSS" localSheetId="3" hidden="1">{"'NOTES2'!$G$9:$J$27"}</definedName>
    <definedName name="SSS" hidden="1">{"'NOTES2'!$G$9:$J$27"}</definedName>
    <definedName name="SSSSS" localSheetId="6" hidden="1">{"'NOTES2'!$G$9:$J$27"}</definedName>
    <definedName name="SSSSS" localSheetId="12" hidden="1">{"'NOTES2'!$G$9:$J$27"}</definedName>
    <definedName name="SSSSS" localSheetId="3" hidden="1">{"'NOTES2'!$G$9:$J$27"}</definedName>
    <definedName name="SSSSS" hidden="1">{"'NOTES2'!$G$9:$J$27"}</definedName>
    <definedName name="SSSSSS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" localSheetId="6" hidden="1">{"'NOTES2'!$G$9:$J$27"}</definedName>
    <definedName name="SSSSSSS" localSheetId="12" hidden="1">{"'NOTES2'!$G$9:$J$27"}</definedName>
    <definedName name="SSSSSSS" localSheetId="3" hidden="1">{"'NOTES2'!$G$9:$J$27"}</definedName>
    <definedName name="SSSSSSS" hidden="1">{"'NOTES2'!$G$9:$J$27"}</definedName>
    <definedName name="TEST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TE" localSheetId="6" hidden="1">{"'NOTES2'!$G$9:$J$27"}</definedName>
    <definedName name="TETE" localSheetId="12" hidden="1">{"'NOTES2'!$G$9:$J$27"}</definedName>
    <definedName name="TETE" localSheetId="3" hidden="1">{"'NOTES2'!$G$9:$J$27"}</definedName>
    <definedName name="TETE" hidden="1">{"'NOTES2'!$G$9:$J$27"}</definedName>
    <definedName name="TFV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lnm.Print_Titles" localSheetId="9">'GEST AMBIENTAL'!$1:$7</definedName>
    <definedName name="_xlnm.Print_Titles" localSheetId="1">'Planilla de Cierre - META'!$1:$7</definedName>
    <definedName name="transp36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CUSTO._.DE._.PRODUÇÃO._.MINA._.DE._.MANGANES._.DO._.AZUL." localSheetId="6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localSheetId="12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localSheetId="3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6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localSheetId="1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localSheetId="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pablo." localSheetId="6" hidden="1">{#N/A,#N/A,FALSE,"Hoja1";#N/A,#N/A,FALSE,"Hoja2"}</definedName>
    <definedName name="wrn.pablo." localSheetId="12" hidden="1">{#N/A,#N/A,FALSE,"Hoja1";#N/A,#N/A,FALSE,"Hoja2"}</definedName>
    <definedName name="wrn.pablo." localSheetId="3" hidden="1">{#N/A,#N/A,FALSE,"Hoja1";#N/A,#N/A,FALSE,"Hoja2"}</definedName>
    <definedName name="wrn.pablo." hidden="1">{#N/A,#N/A,FALSE,"Hoja1";#N/A,#N/A,FALSE,"Hoja2"}</definedName>
    <definedName name="wrn.PENDENCIAS.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rueba." localSheetId="6" hidden="1">{#N/A,#N/A,FALSE,"O&amp;M"}</definedName>
    <definedName name="wrn.Prueba." localSheetId="12" hidden="1">{#N/A,#N/A,FALSE,"O&amp;M"}</definedName>
    <definedName name="wrn.Prueba." localSheetId="3" hidden="1">{#N/A,#N/A,FALSE,"O&amp;M"}</definedName>
    <definedName name="wrn.Prueba." hidden="1">{#N/A,#N/A,FALSE,"O&amp;M"}</definedName>
    <definedName name="wrn.rel.custo._.xls." localSheetId="6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localSheetId="1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localSheetId="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." localSheetId="6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localSheetId="1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localSheetId="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6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localSheetId="1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localSheetId="3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PAC.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WW" localSheetId="6" hidden="1">{"'NOTES2'!$G$9:$J$27"}</definedName>
    <definedName name="WWW" localSheetId="12" hidden="1">{"'NOTES2'!$G$9:$J$27"}</definedName>
    <definedName name="WWW" localSheetId="3" hidden="1">{"'NOTES2'!$G$9:$J$27"}</definedName>
    <definedName name="WWW" hidden="1">{"'NOTES2'!$G$9:$J$27"}</definedName>
    <definedName name="x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" localSheetId="6" hidden="1">{"'NOTES2'!$G$9:$J$27"}</definedName>
    <definedName name="XX" localSheetId="12" hidden="1">{"'NOTES2'!$G$9:$J$27"}</definedName>
    <definedName name="XX" localSheetId="3" hidden="1">{"'NOTES2'!$G$9:$J$27"}</definedName>
    <definedName name="XX" hidden="1">{"'NOTES2'!$G$9:$J$27"}</definedName>
    <definedName name="XXX" localSheetId="6" hidden="1">{"'NOTES2'!$G$9:$J$27"}</definedName>
    <definedName name="XXX" localSheetId="12" hidden="1">{"'NOTES2'!$G$9:$J$27"}</definedName>
    <definedName name="XXX" localSheetId="3" hidden="1">{"'NOTES2'!$G$9:$J$27"}</definedName>
    <definedName name="XXX" hidden="1">{"'NOTES2'!$G$9:$J$27"}</definedName>
    <definedName name="XXX7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" localSheetId="6" hidden="1">{"'NOTES2'!$G$9:$J$27"}</definedName>
    <definedName name="XXXX" localSheetId="12" hidden="1">{"'NOTES2'!$G$9:$J$27"}</definedName>
    <definedName name="XXXX" localSheetId="3" hidden="1">{"'NOTES2'!$G$9:$J$27"}</definedName>
    <definedName name="XXXX" hidden="1">{"'NOTES2'!$G$9:$J$27"}</definedName>
    <definedName name="XXXXX" localSheetId="6" hidden="1">{"'NOTES2'!$G$9:$J$27"}</definedName>
    <definedName name="XXXXX" localSheetId="12" hidden="1">{"'NOTES2'!$G$9:$J$27"}</definedName>
    <definedName name="XXXXX" localSheetId="3" hidden="1">{"'NOTES2'!$G$9:$J$27"}</definedName>
    <definedName name="XXXXX" hidden="1">{"'NOTES2'!$G$9:$J$27"}</definedName>
    <definedName name="XXXXXX" localSheetId="6" hidden="1">{"'NOTES2'!$G$9:$J$27"}</definedName>
    <definedName name="XXXXXX" localSheetId="12" hidden="1">{"'NOTES2'!$G$9:$J$27"}</definedName>
    <definedName name="XXXXXX" localSheetId="3" hidden="1">{"'NOTES2'!$G$9:$J$27"}</definedName>
    <definedName name="XXXXXX" hidden="1">{"'NOTES2'!$G$9:$J$27"}</definedName>
    <definedName name="XZ" localSheetId="6" hidden="1">{"'NOTES2'!$G$9:$J$27"}</definedName>
    <definedName name="XZ" localSheetId="12" hidden="1">{"'NOTES2'!$G$9:$J$27"}</definedName>
    <definedName name="XZ" localSheetId="3" hidden="1">{"'NOTES2'!$G$9:$J$27"}</definedName>
    <definedName name="XZ" hidden="1">{"'NOTES2'!$G$9:$J$27"}</definedName>
    <definedName name="ZZZ1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localSheetId="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localSheetId="1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localSheetId="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0" l="1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10" i="10"/>
  <c r="AG29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D29" i="10"/>
  <c r="AE29" i="10"/>
  <c r="AF29" i="10"/>
  <c r="AH29" i="10"/>
  <c r="AI29" i="10"/>
  <c r="AJ29" i="10"/>
  <c r="AK29" i="10"/>
  <c r="AL29" i="10"/>
  <c r="AM29" i="10"/>
  <c r="AN29" i="10"/>
  <c r="AO29" i="10"/>
  <c r="AP29" i="10"/>
  <c r="AQ29" i="10"/>
  <c r="AR29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D10" i="10"/>
  <c r="AS11" i="10"/>
  <c r="AS12" i="10"/>
  <c r="AS13" i="10"/>
  <c r="AS14" i="10"/>
  <c r="AS15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39" i="10"/>
  <c r="AS40" i="10"/>
  <c r="AS41" i="10"/>
  <c r="AS42" i="10"/>
  <c r="AS43" i="10"/>
  <c r="AS44" i="10"/>
  <c r="AS45" i="10"/>
  <c r="AS46" i="10"/>
  <c r="AS47" i="10"/>
  <c r="AS48" i="10"/>
  <c r="AS10" i="10"/>
  <c r="Y10" i="10" l="1"/>
  <c r="Y46" i="10" l="1"/>
  <c r="AA46" i="10" s="1"/>
  <c r="AB46" i="10" s="1"/>
  <c r="X46" i="10"/>
  <c r="Y41" i="10"/>
  <c r="AA41" i="10" s="1"/>
  <c r="AB41" i="10" s="1"/>
  <c r="X41" i="10"/>
  <c r="K12" i="18" l="1"/>
  <c r="M12" i="18" l="1"/>
  <c r="O12" i="18" l="1"/>
  <c r="E12" i="18" s="1"/>
  <c r="F12" i="18" s="1"/>
  <c r="K8" i="18" l="1"/>
  <c r="M8" i="18" s="1"/>
  <c r="O8" i="18" s="1"/>
  <c r="E8" i="18" s="1"/>
  <c r="F8" i="18" s="1"/>
  <c r="K11" i="18"/>
  <c r="L10" i="18"/>
  <c r="M10" i="18" s="1"/>
  <c r="O10" i="18" s="1"/>
  <c r="E10" i="18" s="1"/>
  <c r="F10" i="18" s="1"/>
  <c r="K9" i="18"/>
  <c r="M9" i="18" s="1"/>
  <c r="O9" i="18" s="1"/>
  <c r="E9" i="18" s="1"/>
  <c r="F9" i="18" s="1"/>
  <c r="E7" i="18"/>
  <c r="F7" i="18" s="1"/>
  <c r="M11" i="18" l="1"/>
  <c r="O11" i="18" s="1"/>
  <c r="E11" i="18" s="1"/>
  <c r="F11" i="18" s="1"/>
  <c r="F15" i="18" s="1"/>
  <c r="G17" i="17"/>
  <c r="H17" i="17" s="1"/>
  <c r="I16" i="17" s="1"/>
  <c r="G10" i="17"/>
  <c r="H10" i="17" s="1"/>
  <c r="G9" i="17"/>
  <c r="E9" i="17"/>
  <c r="H9" i="17" s="1"/>
  <c r="G8" i="17"/>
  <c r="H8" i="17" s="1"/>
  <c r="G7" i="17"/>
  <c r="H7" i="17" s="1"/>
  <c r="I6" i="17" s="1"/>
  <c r="I12" i="17" s="1"/>
  <c r="J6" i="17"/>
  <c r="B4" i="17"/>
  <c r="B2" i="17"/>
  <c r="B1" i="17"/>
  <c r="AI76" i="9"/>
  <c r="I19" i="17" l="1"/>
  <c r="E15" i="18"/>
  <c r="A7" i="15"/>
  <c r="A8" i="15" s="1"/>
  <c r="A9" i="15" s="1"/>
  <c r="A10" i="15" s="1"/>
  <c r="A11" i="15" s="1"/>
  <c r="A12" i="15" s="1"/>
  <c r="A13" i="15" s="1"/>
  <c r="F23" i="15"/>
  <c r="G23" i="15" s="1"/>
  <c r="F26" i="15"/>
  <c r="G26" i="15" s="1"/>
  <c r="F18" i="15"/>
  <c r="G18" i="15" s="1"/>
  <c r="F55" i="15"/>
  <c r="D55" i="15"/>
  <c r="F51" i="15"/>
  <c r="G51" i="15" s="1"/>
  <c r="A41" i="15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F50" i="15"/>
  <c r="F49" i="15"/>
  <c r="F48" i="15"/>
  <c r="G48" i="15" s="1"/>
  <c r="F47" i="15"/>
  <c r="G47" i="15" s="1"/>
  <c r="F46" i="15"/>
  <c r="F44" i="15"/>
  <c r="G44" i="15" s="1"/>
  <c r="F43" i="15"/>
  <c r="G43" i="15" s="1"/>
  <c r="F45" i="15"/>
  <c r="G45" i="15" s="1"/>
  <c r="F42" i="15"/>
  <c r="G42" i="15" s="1"/>
  <c r="F41" i="15"/>
  <c r="G41" i="15" s="1"/>
  <c r="F40" i="15"/>
  <c r="G40" i="15" s="1"/>
  <c r="F54" i="15"/>
  <c r="F53" i="15"/>
  <c r="D27" i="15"/>
  <c r="G27" i="15" s="1"/>
  <c r="F37" i="15"/>
  <c r="F25" i="15"/>
  <c r="G25" i="15" s="1"/>
  <c r="AI87" i="9"/>
  <c r="AJ87" i="9" s="1"/>
  <c r="F24" i="15"/>
  <c r="G24" i="15" s="1"/>
  <c r="F16" i="15"/>
  <c r="F22" i="15"/>
  <c r="G22" i="15" s="1"/>
  <c r="F21" i="15"/>
  <c r="F19" i="15"/>
  <c r="F20" i="15"/>
  <c r="A32" i="15"/>
  <c r="A33" i="15" s="1"/>
  <c r="F17" i="15"/>
  <c r="F13" i="15"/>
  <c r="G13" i="15" s="1"/>
  <c r="F9" i="15"/>
  <c r="G9" i="15" s="1"/>
  <c r="F8" i="15"/>
  <c r="G8" i="15" s="1"/>
  <c r="F7" i="15"/>
  <c r="G7" i="15" s="1"/>
  <c r="F6" i="15"/>
  <c r="G6" i="15" s="1"/>
  <c r="G28" i="15"/>
  <c r="A17" i="15"/>
  <c r="A18" i="15" s="1"/>
  <c r="A19" i="15" s="1"/>
  <c r="A20" i="15" s="1"/>
  <c r="A21" i="15" s="1"/>
  <c r="A22" i="15" s="1"/>
  <c r="A23" i="15" s="1"/>
  <c r="A2" i="15"/>
  <c r="A1" i="15"/>
  <c r="AI77" i="9"/>
  <c r="G55" i="15" l="1"/>
  <c r="A24" i="15"/>
  <c r="A25" i="15" s="1"/>
  <c r="A26" i="15" s="1"/>
  <c r="A27" i="15" s="1"/>
  <c r="A28" i="15" s="1"/>
  <c r="G50" i="15"/>
  <c r="F32" i="15"/>
  <c r="G32" i="15" s="1"/>
  <c r="G19" i="15"/>
  <c r="G21" i="15"/>
  <c r="G17" i="15"/>
  <c r="F12" i="15"/>
  <c r="G12" i="15" s="1"/>
  <c r="G20" i="15"/>
  <c r="F33" i="15"/>
  <c r="G33" i="15" s="1"/>
  <c r="F10" i="15"/>
  <c r="G10" i="15" s="1"/>
  <c r="G16" i="15"/>
  <c r="F30" i="15"/>
  <c r="G30" i="15" s="1"/>
  <c r="F31" i="15"/>
  <c r="G31" i="15" s="1"/>
  <c r="G53" i="15"/>
  <c r="F11" i="15"/>
  <c r="G11" i="15" s="1"/>
  <c r="F34" i="15"/>
  <c r="G34" i="15" s="1"/>
  <c r="G49" i="15"/>
  <c r="F36" i="15"/>
  <c r="G36" i="15" s="1"/>
  <c r="F38" i="15"/>
  <c r="G54" i="15"/>
  <c r="F35" i="15"/>
  <c r="H5" i="15" l="1"/>
  <c r="H52" i="15"/>
  <c r="G38" i="15"/>
  <c r="G35" i="15"/>
  <c r="D37" i="15"/>
  <c r="G37" i="15" s="1"/>
  <c r="O5" i="15" l="1"/>
  <c r="H15" i="15"/>
  <c r="H29" i="15"/>
  <c r="G46" i="15"/>
  <c r="H39" i="15" s="1"/>
  <c r="H57" i="15" l="1"/>
  <c r="H58" i="15" s="1"/>
  <c r="AI74" i="9" l="1"/>
  <c r="AG74" i="9"/>
  <c r="AJ74" i="9" s="1"/>
  <c r="AA81" i="9"/>
  <c r="AA82" i="9" s="1"/>
  <c r="AA83" i="9" s="1"/>
  <c r="AA84" i="9" s="1"/>
  <c r="AA85" i="9" s="1"/>
  <c r="AA86" i="9" s="1"/>
  <c r="AA87" i="9" s="1"/>
  <c r="AA55" i="9"/>
  <c r="AA56" i="9" s="1"/>
  <c r="AA57" i="9" s="1"/>
  <c r="AA58" i="9" s="1"/>
  <c r="AA59" i="9" s="1"/>
  <c r="AA60" i="9" s="1"/>
  <c r="AA61" i="9" s="1"/>
  <c r="AA62" i="9" s="1"/>
  <c r="AA63" i="9" s="1"/>
  <c r="AJ77" i="9"/>
  <c r="AI66" i="9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Y48" i="10"/>
  <c r="AA48" i="10" s="1"/>
  <c r="AB48" i="10" s="1"/>
  <c r="X48" i="10"/>
  <c r="Y47" i="10"/>
  <c r="AA47" i="10" s="1"/>
  <c r="AB47" i="10" s="1"/>
  <c r="X47" i="10"/>
  <c r="Y45" i="10"/>
  <c r="AA45" i="10" s="1"/>
  <c r="AB45" i="10" s="1"/>
  <c r="X45" i="10"/>
  <c r="Y44" i="10"/>
  <c r="AA44" i="10" s="1"/>
  <c r="AB44" i="10" s="1"/>
  <c r="X44" i="10"/>
  <c r="Y43" i="10"/>
  <c r="AA43" i="10" s="1"/>
  <c r="AB43" i="10" s="1"/>
  <c r="X43" i="10"/>
  <c r="Y42" i="10"/>
  <c r="AA42" i="10" s="1"/>
  <c r="AB42" i="10" s="1"/>
  <c r="X42" i="10"/>
  <c r="Y40" i="10"/>
  <c r="AA40" i="10" s="1"/>
  <c r="AB40" i="10" s="1"/>
  <c r="X40" i="10"/>
  <c r="Y39" i="10"/>
  <c r="AA39" i="10" s="1"/>
  <c r="AB39" i="10" s="1"/>
  <c r="X39" i="10"/>
  <c r="Y38" i="10"/>
  <c r="AA38" i="10" s="1"/>
  <c r="AB38" i="10" s="1"/>
  <c r="X38" i="10"/>
  <c r="Y37" i="10"/>
  <c r="AA37" i="10" s="1"/>
  <c r="AB37" i="10" s="1"/>
  <c r="X37" i="10"/>
  <c r="Y36" i="10"/>
  <c r="AA36" i="10" s="1"/>
  <c r="AB36" i="10" s="1"/>
  <c r="X36" i="10"/>
  <c r="Y35" i="10"/>
  <c r="AA35" i="10" s="1"/>
  <c r="AB35" i="10" s="1"/>
  <c r="X35" i="10"/>
  <c r="Y34" i="10"/>
  <c r="AA34" i="10" s="1"/>
  <c r="AB34" i="10" s="1"/>
  <c r="X34" i="10"/>
  <c r="Y33" i="10"/>
  <c r="AA33" i="10" s="1"/>
  <c r="AB33" i="10" s="1"/>
  <c r="X33" i="10"/>
  <c r="Y32" i="10"/>
  <c r="AA32" i="10" s="1"/>
  <c r="AB32" i="10" s="1"/>
  <c r="X32" i="10"/>
  <c r="Y31" i="10"/>
  <c r="AA31" i="10" s="1"/>
  <c r="AB31" i="10" s="1"/>
  <c r="X31" i="10"/>
  <c r="Y30" i="10"/>
  <c r="AA30" i="10" s="1"/>
  <c r="AB30" i="10" s="1"/>
  <c r="X30" i="10"/>
  <c r="Y29" i="10"/>
  <c r="AA29" i="10" s="1"/>
  <c r="AB29" i="10" s="1"/>
  <c r="X29" i="10"/>
  <c r="Y28" i="10"/>
  <c r="AA28" i="10" s="1"/>
  <c r="AB28" i="10" s="1"/>
  <c r="X28" i="10"/>
  <c r="Y27" i="10"/>
  <c r="AA27" i="10" s="1"/>
  <c r="AB27" i="10" s="1"/>
  <c r="X27" i="10"/>
  <c r="Y26" i="10"/>
  <c r="AA26" i="10" s="1"/>
  <c r="AB26" i="10" s="1"/>
  <c r="X26" i="10"/>
  <c r="Y25" i="10"/>
  <c r="AA25" i="10" s="1"/>
  <c r="AB25" i="10" s="1"/>
  <c r="X25" i="10"/>
  <c r="Y24" i="10"/>
  <c r="AA24" i="10" s="1"/>
  <c r="AB24" i="10" s="1"/>
  <c r="X24" i="10"/>
  <c r="Y23" i="10"/>
  <c r="AA23" i="10" s="1"/>
  <c r="AB23" i="10" s="1"/>
  <c r="X23" i="10"/>
  <c r="Y22" i="10"/>
  <c r="AA22" i="10" s="1"/>
  <c r="AB22" i="10" s="1"/>
  <c r="X22" i="10"/>
  <c r="Y21" i="10"/>
  <c r="AA21" i="10" s="1"/>
  <c r="AB21" i="10" s="1"/>
  <c r="X21" i="10"/>
  <c r="Y20" i="10"/>
  <c r="AA20" i="10" s="1"/>
  <c r="AB20" i="10" s="1"/>
  <c r="X20" i="10"/>
  <c r="Y19" i="10"/>
  <c r="AA19" i="10" s="1"/>
  <c r="AB19" i="10" s="1"/>
  <c r="X19" i="10"/>
  <c r="Y18" i="10"/>
  <c r="AA18" i="10" s="1"/>
  <c r="AB18" i="10" s="1"/>
  <c r="X18" i="10"/>
  <c r="Y17" i="10"/>
  <c r="AA17" i="10" s="1"/>
  <c r="AB17" i="10" s="1"/>
  <c r="X17" i="10"/>
  <c r="Y16" i="10"/>
  <c r="AA16" i="10" s="1"/>
  <c r="AB16" i="10" s="1"/>
  <c r="X16" i="10"/>
  <c r="Y15" i="10"/>
  <c r="AA15" i="10" s="1"/>
  <c r="AB15" i="10" s="1"/>
  <c r="X15" i="10"/>
  <c r="Y14" i="10"/>
  <c r="AA14" i="10" s="1"/>
  <c r="AB14" i="10" s="1"/>
  <c r="X14" i="10"/>
  <c r="Y13" i="10"/>
  <c r="AA13" i="10" s="1"/>
  <c r="AB13" i="10" s="1"/>
  <c r="X13" i="10"/>
  <c r="Y12" i="10"/>
  <c r="AA12" i="10" s="1"/>
  <c r="AB12" i="10" s="1"/>
  <c r="X12" i="10"/>
  <c r="Y11" i="10"/>
  <c r="AA11" i="10" s="1"/>
  <c r="AB11" i="10" s="1"/>
  <c r="X11" i="10"/>
  <c r="AA10" i="10"/>
  <c r="X10" i="10"/>
  <c r="AA50" i="10" l="1"/>
  <c r="AB10" i="10"/>
  <c r="AB50" i="10" s="1"/>
  <c r="AB53" i="10" s="1"/>
  <c r="AI8" i="9"/>
  <c r="X50" i="10"/>
  <c r="D100" i="9"/>
  <c r="D99" i="9"/>
  <c r="G94" i="9"/>
  <c r="H94" i="9" s="1"/>
  <c r="G93" i="9"/>
  <c r="H93" i="9" s="1"/>
  <c r="AA92" i="9"/>
  <c r="AA93" i="9" s="1"/>
  <c r="AA94" i="9" s="1"/>
  <c r="G92" i="9"/>
  <c r="H92" i="9" s="1"/>
  <c r="L92" i="9" s="1"/>
  <c r="A92" i="9"/>
  <c r="A93" i="9" s="1"/>
  <c r="A94" i="9" s="1"/>
  <c r="AF91" i="9"/>
  <c r="G91" i="9"/>
  <c r="G107" i="9" s="1"/>
  <c r="E91" i="9"/>
  <c r="AJ88" i="9"/>
  <c r="H88" i="9"/>
  <c r="D87" i="9"/>
  <c r="AI86" i="9"/>
  <c r="AJ86" i="9" s="1"/>
  <c r="D86" i="9"/>
  <c r="H86" i="9" s="1"/>
  <c r="AI85" i="9"/>
  <c r="AJ85" i="9" s="1"/>
  <c r="D85" i="9"/>
  <c r="AI84" i="9"/>
  <c r="AJ84" i="9" s="1"/>
  <c r="D84" i="9"/>
  <c r="AI83" i="9"/>
  <c r="AJ83" i="9" s="1"/>
  <c r="D83" i="9"/>
  <c r="AI82" i="9"/>
  <c r="AJ82" i="9" s="1"/>
  <c r="D82" i="9"/>
  <c r="AI81" i="9"/>
  <c r="AJ81" i="9" s="1"/>
  <c r="AJ80" i="9"/>
  <c r="H78" i="9"/>
  <c r="G76" i="9"/>
  <c r="H76" i="9" s="1"/>
  <c r="AJ76" i="9"/>
  <c r="H75" i="9"/>
  <c r="AJ75" i="9"/>
  <c r="G74" i="9"/>
  <c r="H74" i="9" s="1"/>
  <c r="AI73" i="9"/>
  <c r="AJ73" i="9" s="1"/>
  <c r="AI72" i="9"/>
  <c r="AJ72" i="9" s="1"/>
  <c r="G72" i="9"/>
  <c r="AJ71" i="9"/>
  <c r="H71" i="9"/>
  <c r="AJ70" i="9"/>
  <c r="G70" i="9"/>
  <c r="AI69" i="9"/>
  <c r="AJ69" i="9" s="1"/>
  <c r="G69" i="9"/>
  <c r="H69" i="9" s="1"/>
  <c r="AJ68" i="9"/>
  <c r="G68" i="9"/>
  <c r="H68" i="9" s="1"/>
  <c r="AJ67" i="9"/>
  <c r="AA67" i="9"/>
  <c r="AA68" i="9" s="1"/>
  <c r="AA69" i="9" s="1"/>
  <c r="AA70" i="9" s="1"/>
  <c r="AA71" i="9" s="1"/>
  <c r="AA72" i="9" s="1"/>
  <c r="AA73" i="9" s="1"/>
  <c r="AA74" i="9" s="1"/>
  <c r="AA75" i="9" s="1"/>
  <c r="AA76" i="9" s="1"/>
  <c r="A67" i="9"/>
  <c r="A68" i="9" s="1"/>
  <c r="A69" i="9" s="1"/>
  <c r="A70" i="9" s="1"/>
  <c r="A71" i="9" s="1"/>
  <c r="A72" i="9" s="1"/>
  <c r="A73" i="9" s="1"/>
  <c r="A74" i="9" s="1"/>
  <c r="A75" i="9" s="1"/>
  <c r="A76" i="9" s="1"/>
  <c r="A78" i="9" s="1"/>
  <c r="AJ66" i="9"/>
  <c r="AJ64" i="9"/>
  <c r="H64" i="9"/>
  <c r="AG63" i="9"/>
  <c r="AJ63" i="9" s="1"/>
  <c r="AG62" i="9"/>
  <c r="AJ62" i="9" s="1"/>
  <c r="C62" i="9"/>
  <c r="AG61" i="9"/>
  <c r="AJ61" i="9" s="1"/>
  <c r="AG60" i="9"/>
  <c r="AJ60" i="9" s="1"/>
  <c r="C60" i="9"/>
  <c r="AG59" i="9"/>
  <c r="AJ59" i="9" s="1"/>
  <c r="AG58" i="9"/>
  <c r="AJ58" i="9" s="1"/>
  <c r="C58" i="9"/>
  <c r="AG57" i="9"/>
  <c r="AJ57" i="9" s="1"/>
  <c r="AG56" i="9"/>
  <c r="AJ56" i="9" s="1"/>
  <c r="C56" i="9"/>
  <c r="AJ55" i="9"/>
  <c r="J55" i="9"/>
  <c r="E55" i="9"/>
  <c r="C55" i="9"/>
  <c r="AI54" i="9"/>
  <c r="AJ54" i="9" s="1"/>
  <c r="J54" i="9"/>
  <c r="C54" i="9"/>
  <c r="AG52" i="9"/>
  <c r="AJ52" i="9" s="1"/>
  <c r="E52" i="9"/>
  <c r="H52" i="9" s="1"/>
  <c r="AJ51" i="9"/>
  <c r="AH51" i="9"/>
  <c r="AJ50" i="9"/>
  <c r="AH50" i="9"/>
  <c r="AJ49" i="9"/>
  <c r="AH49" i="9"/>
  <c r="L49" i="9"/>
  <c r="AJ48" i="9"/>
  <c r="AH48" i="9"/>
  <c r="AJ47" i="9"/>
  <c r="AH47" i="9"/>
  <c r="L47" i="9"/>
  <c r="AJ46" i="9"/>
  <c r="AH46" i="9"/>
  <c r="E46" i="9"/>
  <c r="E47" i="9" s="1"/>
  <c r="AJ45" i="9"/>
  <c r="AH45" i="9"/>
  <c r="AJ44" i="9"/>
  <c r="AH44" i="9"/>
  <c r="E44" i="9"/>
  <c r="AJ43" i="9"/>
  <c r="AH43" i="9"/>
  <c r="E43" i="9"/>
  <c r="AG42" i="9"/>
  <c r="AJ42" i="9" s="1"/>
  <c r="AJ40" i="9"/>
  <c r="AH40" i="9"/>
  <c r="AJ39" i="9"/>
  <c r="AH39" i="9"/>
  <c r="AJ38" i="9"/>
  <c r="AH38" i="9"/>
  <c r="AJ37" i="9"/>
  <c r="AH37" i="9"/>
  <c r="AJ36" i="9"/>
  <c r="AH36" i="9"/>
  <c r="AJ35" i="9"/>
  <c r="AH35" i="9"/>
  <c r="AJ34" i="9"/>
  <c r="AH34" i="9"/>
  <c r="AJ33" i="9"/>
  <c r="AH33" i="9"/>
  <c r="AJ32" i="9"/>
  <c r="AH32" i="9"/>
  <c r="AJ31" i="9"/>
  <c r="AH31" i="9"/>
  <c r="AJ30" i="9"/>
  <c r="AH30" i="9"/>
  <c r="AJ29" i="9"/>
  <c r="AH29" i="9"/>
  <c r="AJ28" i="9"/>
  <c r="AH28" i="9"/>
  <c r="AJ27" i="9"/>
  <c r="AH27" i="9"/>
  <c r="AJ26" i="9"/>
  <c r="AH26" i="9"/>
  <c r="AJ25" i="9"/>
  <c r="AH25" i="9"/>
  <c r="AJ24" i="9"/>
  <c r="AH24" i="9"/>
  <c r="AG23" i="9"/>
  <c r="AJ23" i="9" s="1"/>
  <c r="AJ22" i="9"/>
  <c r="AH22" i="9"/>
  <c r="AJ21" i="9"/>
  <c r="AH21" i="9"/>
  <c r="AJ20" i="9"/>
  <c r="AH20" i="9"/>
  <c r="AG19" i="9"/>
  <c r="AJ19" i="9" s="1"/>
  <c r="AG18" i="9"/>
  <c r="AH18" i="9" s="1"/>
  <c r="AG17" i="9"/>
  <c r="AH17" i="9" s="1"/>
  <c r="L17" i="9"/>
  <c r="AJ16" i="9"/>
  <c r="AH16" i="9"/>
  <c r="AA16" i="9"/>
  <c r="AA17" i="9" s="1"/>
  <c r="AA18" i="9" s="1"/>
  <c r="AA19" i="9" s="1"/>
  <c r="AA20" i="9" s="1"/>
  <c r="AA21" i="9" s="1"/>
  <c r="AA22" i="9" s="1"/>
  <c r="AA23" i="9" s="1"/>
  <c r="AA24" i="9" s="1"/>
  <c r="AA25" i="9" s="1"/>
  <c r="AA26" i="9" s="1"/>
  <c r="AA27" i="9" s="1"/>
  <c r="AA28" i="9" s="1"/>
  <c r="AA29" i="9" s="1"/>
  <c r="AA30" i="9" s="1"/>
  <c r="AA31" i="9" s="1"/>
  <c r="AA32" i="9" s="1"/>
  <c r="AA33" i="9" s="1"/>
  <c r="AA34" i="9" s="1"/>
  <c r="AA35" i="9" s="1"/>
  <c r="AA36" i="9" s="1"/>
  <c r="AA37" i="9" s="1"/>
  <c r="AA38" i="9" s="1"/>
  <c r="AA39" i="9" s="1"/>
  <c r="AA40" i="9" s="1"/>
  <c r="AA41" i="9" s="1"/>
  <c r="AA43" i="9" s="1"/>
  <c r="AA44" i="9" s="1"/>
  <c r="AA45" i="9" s="1"/>
  <c r="AA46" i="9" s="1"/>
  <c r="AA47" i="9" s="1"/>
  <c r="AA48" i="9" s="1"/>
  <c r="AA49" i="9" s="1"/>
  <c r="AG14" i="9"/>
  <c r="AJ13" i="9"/>
  <c r="AH13" i="9"/>
  <c r="L13" i="9"/>
  <c r="AJ12" i="9"/>
  <c r="AH12" i="9"/>
  <c r="AJ11" i="9"/>
  <c r="AH11" i="9"/>
  <c r="AJ10" i="9"/>
  <c r="AH10" i="9"/>
  <c r="R10" i="9"/>
  <c r="S10" i="9" s="1"/>
  <c r="T6" i="9"/>
  <c r="F30" i="9" s="1"/>
  <c r="H30" i="9" s="1"/>
  <c r="AA5" i="9"/>
  <c r="R5" i="9"/>
  <c r="T5" i="9" s="1"/>
  <c r="F13" i="9" s="1"/>
  <c r="H13" i="9" s="1"/>
  <c r="K5" i="9"/>
  <c r="J5" i="9"/>
  <c r="A5" i="9"/>
  <c r="T4" i="9"/>
  <c r="F39" i="9" s="1"/>
  <c r="H39" i="9" s="1"/>
  <c r="AA2" i="9"/>
  <c r="T2" i="9"/>
  <c r="F59" i="9" s="1"/>
  <c r="H59" i="9" s="1"/>
  <c r="A2" i="9"/>
  <c r="AA1" i="9"/>
  <c r="A1" i="9"/>
  <c r="U6" i="9" l="1"/>
  <c r="AH19" i="9"/>
  <c r="AH23" i="9"/>
  <c r="AJ17" i="9"/>
  <c r="AJ18" i="9"/>
  <c r="F26" i="9"/>
  <c r="H26" i="9" s="1"/>
  <c r="F17" i="9"/>
  <c r="H17" i="9" s="1"/>
  <c r="F28" i="9"/>
  <c r="H28" i="9" s="1"/>
  <c r="F35" i="9"/>
  <c r="H35" i="9" s="1"/>
  <c r="F11" i="9"/>
  <c r="H11" i="9" s="1"/>
  <c r="K11" i="9" s="1"/>
  <c r="L11" i="9" s="1"/>
  <c r="F36" i="9"/>
  <c r="H36" i="9" s="1"/>
  <c r="W2" i="9"/>
  <c r="F23" i="9"/>
  <c r="H23" i="9" s="1"/>
  <c r="K44" i="9" s="1"/>
  <c r="L44" i="9" s="1"/>
  <c r="F60" i="9"/>
  <c r="H60" i="9" s="1"/>
  <c r="F56" i="9"/>
  <c r="H56" i="9" s="1"/>
  <c r="F54" i="9"/>
  <c r="H54" i="9" s="1"/>
  <c r="F44" i="9"/>
  <c r="H44" i="9" s="1"/>
  <c r="F27" i="9"/>
  <c r="H27" i="9" s="1"/>
  <c r="K48" i="9" s="1"/>
  <c r="L48" i="9" s="1"/>
  <c r="F34" i="9"/>
  <c r="H34" i="9" s="1"/>
  <c r="F57" i="9"/>
  <c r="H57" i="9" s="1"/>
  <c r="F62" i="9"/>
  <c r="H62" i="9" s="1"/>
  <c r="F14" i="9"/>
  <c r="H14" i="9" s="1"/>
  <c r="K14" i="9" s="1"/>
  <c r="L14" i="9" s="1"/>
  <c r="F42" i="9"/>
  <c r="H42" i="9" s="1"/>
  <c r="F55" i="9"/>
  <c r="H55" i="9" s="1"/>
  <c r="AA78" i="9"/>
  <c r="AA77" i="9"/>
  <c r="AK53" i="9"/>
  <c r="AK65" i="9"/>
  <c r="AK79" i="9"/>
  <c r="AJ8" i="9"/>
  <c r="AK7" i="9" s="1"/>
  <c r="U4" i="9"/>
  <c r="J94" i="9" s="1"/>
  <c r="F12" i="9"/>
  <c r="H12" i="9" s="1"/>
  <c r="K12" i="9" s="1"/>
  <c r="L12" i="9" s="1"/>
  <c r="F16" i="9"/>
  <c r="H16" i="9" s="1"/>
  <c r="K16" i="9" s="1"/>
  <c r="L16" i="9" s="1"/>
  <c r="F22" i="9"/>
  <c r="H22" i="9" s="1"/>
  <c r="K43" i="9" s="1"/>
  <c r="L43" i="9" s="1"/>
  <c r="F25" i="9"/>
  <c r="H25" i="9" s="1"/>
  <c r="K46" i="9" s="1"/>
  <c r="L46" i="9" s="1"/>
  <c r="F33" i="9"/>
  <c r="H33" i="9" s="1"/>
  <c r="F41" i="9"/>
  <c r="H41" i="9" s="1"/>
  <c r="F63" i="9"/>
  <c r="H63" i="9" s="1"/>
  <c r="F81" i="9"/>
  <c r="F61" i="9"/>
  <c r="H61" i="9" s="1"/>
  <c r="F21" i="9"/>
  <c r="H21" i="9" s="1"/>
  <c r="K42" i="9" s="1"/>
  <c r="L42" i="9" s="1"/>
  <c r="F38" i="9"/>
  <c r="H38" i="9" s="1"/>
  <c r="F49" i="9"/>
  <c r="H49" i="9" s="1"/>
  <c r="F48" i="9"/>
  <c r="H48" i="9" s="1"/>
  <c r="F32" i="9"/>
  <c r="H32" i="9" s="1"/>
  <c r="F58" i="9"/>
  <c r="H58" i="9" s="1"/>
  <c r="F24" i="9"/>
  <c r="H24" i="9" s="1"/>
  <c r="K45" i="9" s="1"/>
  <c r="L45" i="9" s="1"/>
  <c r="F40" i="9"/>
  <c r="H40" i="9" s="1"/>
  <c r="U2" i="9"/>
  <c r="F10" i="9"/>
  <c r="H10" i="9" s="1"/>
  <c r="F20" i="9"/>
  <c r="H20" i="9" s="1"/>
  <c r="K41" i="9" s="1"/>
  <c r="L41" i="9" s="1"/>
  <c r="F29" i="9"/>
  <c r="H29" i="9" s="1"/>
  <c r="K52" i="9" s="1"/>
  <c r="L52" i="9" s="1"/>
  <c r="M52" i="9" s="1"/>
  <c r="F37" i="9"/>
  <c r="H37" i="9" s="1"/>
  <c r="F43" i="9"/>
  <c r="H43" i="9" s="1"/>
  <c r="F45" i="9"/>
  <c r="H45" i="9" s="1"/>
  <c r="F46" i="9"/>
  <c r="H46" i="9" s="1"/>
  <c r="F47" i="9"/>
  <c r="H47" i="9" s="1"/>
  <c r="U5" i="9"/>
  <c r="F18" i="9"/>
  <c r="H18" i="9" s="1"/>
  <c r="K18" i="9" s="1"/>
  <c r="L18" i="9" s="1"/>
  <c r="F19" i="9"/>
  <c r="H19" i="9" s="1"/>
  <c r="K21" i="9" s="1"/>
  <c r="L21" i="9" s="1"/>
  <c r="F31" i="9"/>
  <c r="H31" i="9" s="1"/>
  <c r="H91" i="9"/>
  <c r="I53" i="9" l="1"/>
  <c r="I6" i="9"/>
  <c r="M43" i="9"/>
  <c r="K53" i="9"/>
  <c r="I90" i="9"/>
  <c r="J91" i="9"/>
  <c r="F82" i="9"/>
  <c r="H82" i="9" s="1"/>
  <c r="E85" i="9"/>
  <c r="H85" i="9" s="1"/>
  <c r="F83" i="9"/>
  <c r="H83" i="9" s="1"/>
  <c r="H81" i="9"/>
  <c r="F84" i="9"/>
  <c r="H84" i="9" s="1"/>
  <c r="E73" i="9"/>
  <c r="H73" i="9" s="1"/>
  <c r="E87" i="9"/>
  <c r="H87" i="9" s="1"/>
  <c r="E70" i="9"/>
  <c r="H70" i="9" s="1"/>
  <c r="E67" i="9"/>
  <c r="H67" i="9" s="1"/>
  <c r="E66" i="9"/>
  <c r="H66" i="9" s="1"/>
  <c r="E72" i="9"/>
  <c r="H72" i="9" s="1"/>
  <c r="I65" i="9" l="1"/>
  <c r="I79" i="9"/>
  <c r="C24" i="6"/>
  <c r="F23" i="6"/>
  <c r="C23" i="6"/>
  <c r="C22" i="6"/>
  <c r="J11" i="6"/>
  <c r="F10" i="6"/>
  <c r="G10" i="6" s="1"/>
  <c r="J10" i="6"/>
  <c r="F9" i="6"/>
  <c r="G9" i="6" s="1"/>
  <c r="J9" i="6"/>
  <c r="F8" i="6"/>
  <c r="G8" i="6" s="1"/>
  <c r="C29" i="5"/>
  <c r="F28" i="5"/>
  <c r="C28" i="5"/>
  <c r="C27" i="5"/>
  <c r="K15" i="5"/>
  <c r="F15" i="5"/>
  <c r="G15" i="5" s="1"/>
  <c r="K14" i="5"/>
  <c r="F14" i="5"/>
  <c r="G14" i="5" s="1"/>
  <c r="K13" i="5"/>
  <c r="F13" i="5"/>
  <c r="G13" i="5" s="1"/>
  <c r="K12" i="5"/>
  <c r="F12" i="5"/>
  <c r="G12" i="5" s="1"/>
  <c r="K11" i="5"/>
  <c r="F11" i="5"/>
  <c r="G11" i="5" s="1"/>
  <c r="K10" i="5"/>
  <c r="F10" i="5"/>
  <c r="G10" i="5" s="1"/>
  <c r="K9" i="5"/>
  <c r="F9" i="5"/>
  <c r="G9" i="5" s="1"/>
  <c r="K8" i="5"/>
  <c r="F8" i="5"/>
  <c r="G8" i="5" s="1"/>
  <c r="C62" i="4"/>
  <c r="F61" i="4"/>
  <c r="C61" i="4"/>
  <c r="C60" i="4"/>
  <c r="K49" i="4"/>
  <c r="F49" i="4"/>
  <c r="G49" i="4" s="1"/>
  <c r="K48" i="4"/>
  <c r="K47" i="4"/>
  <c r="F47" i="4"/>
  <c r="G47" i="4" s="1"/>
  <c r="K46" i="4"/>
  <c r="F46" i="4"/>
  <c r="G46" i="4" s="1"/>
  <c r="K44" i="4"/>
  <c r="F44" i="4"/>
  <c r="G44" i="4" s="1"/>
  <c r="K43" i="4"/>
  <c r="F43" i="4"/>
  <c r="G43" i="4" s="1"/>
  <c r="K42" i="4"/>
  <c r="F42" i="4"/>
  <c r="G42" i="4" s="1"/>
  <c r="K39" i="4"/>
  <c r="F39" i="4"/>
  <c r="G39" i="4" s="1"/>
  <c r="K38" i="4"/>
  <c r="F38" i="4"/>
  <c r="G38" i="4" s="1"/>
  <c r="K37" i="4"/>
  <c r="F37" i="4"/>
  <c r="G37" i="4" s="1"/>
  <c r="K36" i="4"/>
  <c r="F36" i="4"/>
  <c r="G36" i="4" s="1"/>
  <c r="K33" i="4"/>
  <c r="F33" i="4"/>
  <c r="G33" i="4" s="1"/>
  <c r="K31" i="4"/>
  <c r="G31" i="4"/>
  <c r="F31" i="4"/>
  <c r="K30" i="4"/>
  <c r="F30" i="4"/>
  <c r="G30" i="4" s="1"/>
  <c r="K28" i="4"/>
  <c r="F28" i="4"/>
  <c r="G28" i="4" s="1"/>
  <c r="K26" i="4"/>
  <c r="F26" i="4"/>
  <c r="G26" i="4" s="1"/>
  <c r="K25" i="4"/>
  <c r="G25" i="4"/>
  <c r="F25" i="4"/>
  <c r="K24" i="4"/>
  <c r="F24" i="4"/>
  <c r="G24" i="4" s="1"/>
  <c r="K23" i="4"/>
  <c r="F23" i="4"/>
  <c r="G23" i="4" s="1"/>
  <c r="K21" i="4"/>
  <c r="F21" i="4"/>
  <c r="G21" i="4" s="1"/>
  <c r="K20" i="4"/>
  <c r="F20" i="4"/>
  <c r="G20" i="4" s="1"/>
  <c r="K19" i="4"/>
  <c r="F19" i="4"/>
  <c r="G19" i="4" s="1"/>
  <c r="K16" i="4"/>
  <c r="F16" i="4"/>
  <c r="G16" i="4" s="1"/>
  <c r="K14" i="4"/>
  <c r="G14" i="4"/>
  <c r="F14" i="4"/>
  <c r="K13" i="4"/>
  <c r="F13" i="4"/>
  <c r="G13" i="4" s="1"/>
  <c r="K12" i="4"/>
  <c r="F12" i="4"/>
  <c r="G12" i="4" s="1"/>
  <c r="K9" i="4"/>
  <c r="F9" i="4"/>
  <c r="G9" i="4" s="1"/>
  <c r="C38" i="3"/>
  <c r="F37" i="3"/>
  <c r="C37" i="3"/>
  <c r="C36" i="3"/>
  <c r="I26" i="3"/>
  <c r="K25" i="3"/>
  <c r="F25" i="3"/>
  <c r="G25" i="3" s="1"/>
  <c r="K24" i="3"/>
  <c r="K23" i="3"/>
  <c r="F23" i="3"/>
  <c r="G23" i="3" s="1"/>
  <c r="K22" i="3"/>
  <c r="F22" i="3"/>
  <c r="G22" i="3" s="1"/>
  <c r="K21" i="3"/>
  <c r="F21" i="3"/>
  <c r="G21" i="3" s="1"/>
  <c r="K20" i="3"/>
  <c r="F20" i="3"/>
  <c r="G20" i="3" s="1"/>
  <c r="K19" i="3"/>
  <c r="F19" i="3"/>
  <c r="G19" i="3" s="1"/>
  <c r="K18" i="3"/>
  <c r="F18" i="3"/>
  <c r="G18" i="3" s="1"/>
  <c r="K17" i="3"/>
  <c r="F17" i="3"/>
  <c r="G17" i="3" s="1"/>
  <c r="K16" i="3"/>
  <c r="F16" i="3"/>
  <c r="G16" i="3" s="1"/>
  <c r="AL14" i="3"/>
  <c r="AK14" i="3"/>
  <c r="AJ14" i="3"/>
  <c r="AI14" i="3"/>
  <c r="AH14" i="3"/>
  <c r="AG14" i="3"/>
  <c r="AF14" i="3"/>
  <c r="AE14" i="3"/>
  <c r="AD14" i="3"/>
  <c r="AC14" i="3"/>
  <c r="X14" i="3"/>
  <c r="W14" i="3"/>
  <c r="V14" i="3"/>
  <c r="U14" i="3"/>
  <c r="T14" i="3"/>
  <c r="S14" i="3"/>
  <c r="R14" i="3"/>
  <c r="Q14" i="3"/>
  <c r="K14" i="3"/>
  <c r="F14" i="3"/>
  <c r="G14" i="3" s="1"/>
  <c r="AA13" i="3"/>
  <c r="Y13" i="3"/>
  <c r="K13" i="3"/>
  <c r="F13" i="3"/>
  <c r="G13" i="3" s="1"/>
  <c r="AA12" i="3"/>
  <c r="AB12" i="3" s="1"/>
  <c r="Y12" i="3"/>
  <c r="K12" i="3"/>
  <c r="G12" i="3"/>
  <c r="F12" i="3"/>
  <c r="AA11" i="3"/>
  <c r="AB11" i="3" s="1"/>
  <c r="Y11" i="3"/>
  <c r="K10" i="3"/>
  <c r="K26" i="3" s="1"/>
  <c r="F10" i="3"/>
  <c r="G10" i="3" s="1"/>
  <c r="N7" i="3"/>
  <c r="M7" i="3"/>
  <c r="O6" i="3"/>
  <c r="P6" i="3" s="1"/>
  <c r="O5" i="3"/>
  <c r="P5" i="3" s="1"/>
  <c r="O4" i="3"/>
  <c r="P4" i="3" s="1"/>
  <c r="C28" i="2"/>
  <c r="F27" i="2"/>
  <c r="C27" i="2"/>
  <c r="C26" i="2"/>
  <c r="K14" i="2"/>
  <c r="F14" i="2"/>
  <c r="G14" i="2" s="1"/>
  <c r="K12" i="2"/>
  <c r="F12" i="2"/>
  <c r="G12" i="2" s="1"/>
  <c r="K10" i="2"/>
  <c r="K15" i="2" s="1"/>
  <c r="F10" i="2"/>
  <c r="G10" i="2" s="1"/>
  <c r="G15" i="2" s="1"/>
  <c r="E11" i="8" s="1"/>
  <c r="G2739" i="1"/>
  <c r="G2738" i="1"/>
  <c r="G2737" i="1"/>
  <c r="G2735" i="1"/>
  <c r="G2734" i="1"/>
  <c r="G2733" i="1"/>
  <c r="G2732" i="1"/>
  <c r="G2731" i="1"/>
  <c r="G2730" i="1"/>
  <c r="G2729" i="1"/>
  <c r="G2727" i="1"/>
  <c r="G2726" i="1" s="1"/>
  <c r="G2725" i="1"/>
  <c r="G2724" i="1"/>
  <c r="G2721" i="1"/>
  <c r="G2720" i="1"/>
  <c r="G2719" i="1"/>
  <c r="G2717" i="1"/>
  <c r="G2716" i="1"/>
  <c r="G2715" i="1"/>
  <c r="G2714" i="1"/>
  <c r="G2713" i="1"/>
  <c r="G2712" i="1"/>
  <c r="G2711" i="1"/>
  <c r="G2710" i="1"/>
  <c r="G2709" i="1"/>
  <c r="G2708" i="1"/>
  <c r="G2706" i="1"/>
  <c r="G2705" i="1"/>
  <c r="G2704" i="1"/>
  <c r="G2702" i="1"/>
  <c r="G2701" i="1"/>
  <c r="G2700" i="1"/>
  <c r="G2699" i="1"/>
  <c r="G2696" i="1"/>
  <c r="G2695" i="1"/>
  <c r="G2694" i="1"/>
  <c r="G2692" i="1"/>
  <c r="G2691" i="1"/>
  <c r="G2690" i="1"/>
  <c r="G2689" i="1"/>
  <c r="G2688" i="1"/>
  <c r="G2687" i="1"/>
  <c r="G2686" i="1"/>
  <c r="G2685" i="1"/>
  <c r="G2684" i="1"/>
  <c r="G2682" i="1"/>
  <c r="G2681" i="1"/>
  <c r="G2680" i="1"/>
  <c r="G2678" i="1"/>
  <c r="G2677" i="1"/>
  <c r="G2676" i="1"/>
  <c r="G2672" i="1"/>
  <c r="G2671" i="1" s="1"/>
  <c r="G2670" i="1"/>
  <c r="G2669" i="1" s="1"/>
  <c r="G2668" i="1"/>
  <c r="G2667" i="1"/>
  <c r="G2665" i="1"/>
  <c r="G2664" i="1"/>
  <c r="G2661" i="1"/>
  <c r="G2660" i="1" s="1"/>
  <c r="G2659" i="1"/>
  <c r="G2658" i="1" s="1"/>
  <c r="G2656" i="1"/>
  <c r="G2655" i="1"/>
  <c r="G2654" i="1"/>
  <c r="G2653" i="1"/>
  <c r="G2651" i="1"/>
  <c r="G2650" i="1" s="1"/>
  <c r="G2649" i="1"/>
  <c r="G2648" i="1"/>
  <c r="G2647" i="1"/>
  <c r="G2646" i="1"/>
  <c r="G2644" i="1"/>
  <c r="G2643" i="1"/>
  <c r="G2642" i="1"/>
  <c r="G2639" i="1"/>
  <c r="G2638" i="1"/>
  <c r="G2637" i="1"/>
  <c r="G2635" i="1"/>
  <c r="G2634" i="1" s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6" i="1"/>
  <c r="G2575" i="1"/>
  <c r="G2574" i="1"/>
  <c r="G2573" i="1"/>
  <c r="G2572" i="1"/>
  <c r="G2570" i="1"/>
  <c r="G2569" i="1"/>
  <c r="G2568" i="1"/>
  <c r="G2567" i="1"/>
  <c r="G2566" i="1"/>
  <c r="G2565" i="1"/>
  <c r="G2564" i="1"/>
  <c r="G2561" i="1"/>
  <c r="G2560" i="1"/>
  <c r="G2559" i="1"/>
  <c r="G2558" i="1"/>
  <c r="G2556" i="1"/>
  <c r="G2555" i="1"/>
  <c r="G2554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2" i="1"/>
  <c r="G2531" i="1"/>
  <c r="G2530" i="1"/>
  <c r="G2527" i="1"/>
  <c r="G2526" i="1"/>
  <c r="G2525" i="1"/>
  <c r="G2524" i="1"/>
  <c r="G2522" i="1"/>
  <c r="G2521" i="1" s="1"/>
  <c r="G2520" i="1"/>
  <c r="G2519" i="1"/>
  <c r="G2518" i="1"/>
  <c r="G2517" i="1"/>
  <c r="G2516" i="1"/>
  <c r="G2515" i="1"/>
  <c r="G2514" i="1"/>
  <c r="G2513" i="1"/>
  <c r="G2512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88" i="1"/>
  <c r="G2487" i="1"/>
  <c r="G2486" i="1"/>
  <c r="G2485" i="1"/>
  <c r="G2484" i="1"/>
  <c r="G2482" i="1"/>
  <c r="G2481" i="1"/>
  <c r="G2480" i="1"/>
  <c r="G2479" i="1"/>
  <c r="G2476" i="1"/>
  <c r="G2475" i="1"/>
  <c r="G2474" i="1"/>
  <c r="G2473" i="1"/>
  <c r="G2471" i="1"/>
  <c r="G2470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4" i="1"/>
  <c r="G2453" i="1"/>
  <c r="G2452" i="1"/>
  <c r="G2451" i="1"/>
  <c r="G2447" i="1"/>
  <c r="G2446" i="1" s="1"/>
  <c r="G2445" i="1"/>
  <c r="G2444" i="1"/>
  <c r="G2443" i="1"/>
  <c r="G2442" i="1"/>
  <c r="G2440" i="1"/>
  <c r="G2439" i="1"/>
  <c r="G2438" i="1"/>
  <c r="G2435" i="1"/>
  <c r="G2434" i="1"/>
  <c r="G2433" i="1"/>
  <c r="G2432" i="1"/>
  <c r="G2431" i="1"/>
  <c r="G2430" i="1"/>
  <c r="G2429" i="1"/>
  <c r="G2428" i="1"/>
  <c r="G2426" i="1"/>
  <c r="G2425" i="1"/>
  <c r="G2422" i="1"/>
  <c r="G2421" i="1" s="1"/>
  <c r="G2420" i="1"/>
  <c r="G2419" i="1" s="1"/>
  <c r="G2417" i="1"/>
  <c r="G2416" i="1"/>
  <c r="G2415" i="1"/>
  <c r="G2414" i="1"/>
  <c r="G2413" i="1"/>
  <c r="G2412" i="1"/>
  <c r="G2411" i="1"/>
  <c r="G2410" i="1"/>
  <c r="G2407" i="1"/>
  <c r="G2406" i="1"/>
  <c r="G2405" i="1"/>
  <c r="G2403" i="1"/>
  <c r="G2402" i="1"/>
  <c r="G2399" i="1"/>
  <c r="G2398" i="1"/>
  <c r="G2397" i="1"/>
  <c r="G2396" i="1"/>
  <c r="G2395" i="1"/>
  <c r="G2394" i="1"/>
  <c r="G2393" i="1"/>
  <c r="G2392" i="1"/>
  <c r="G2389" i="1"/>
  <c r="G2388" i="1"/>
  <c r="G2386" i="1"/>
  <c r="G2385" i="1"/>
  <c r="G2382" i="1"/>
  <c r="G2381" i="1"/>
  <c r="G2380" i="1"/>
  <c r="G2379" i="1"/>
  <c r="G2376" i="1"/>
  <c r="G2375" i="1"/>
  <c r="G2374" i="1"/>
  <c r="G2373" i="1"/>
  <c r="G2371" i="1"/>
  <c r="G2370" i="1"/>
  <c r="G2369" i="1"/>
  <c r="G2366" i="1"/>
  <c r="G2365" i="1"/>
  <c r="G2364" i="1"/>
  <c r="G2363" i="1"/>
  <c r="G2362" i="1"/>
  <c r="G2361" i="1"/>
  <c r="G2360" i="1"/>
  <c r="G2359" i="1"/>
  <c r="G2356" i="1"/>
  <c r="G2355" i="1" s="1"/>
  <c r="G2354" i="1"/>
  <c r="G2353" i="1"/>
  <c r="G2351" i="1"/>
  <c r="G2350" i="1"/>
  <c r="G2349" i="1"/>
  <c r="G2348" i="1"/>
  <c r="G2347" i="1"/>
  <c r="G2346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0" i="1"/>
  <c r="G2329" i="1" s="1"/>
  <c r="G2327" i="1"/>
  <c r="G2326" i="1" s="1"/>
  <c r="G2325" i="1"/>
  <c r="G2324" i="1"/>
  <c r="G2322" i="1"/>
  <c r="G2321" i="1"/>
  <c r="G2320" i="1"/>
  <c r="G2319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6" i="1"/>
  <c r="G2295" i="1" s="1"/>
  <c r="G2293" i="1"/>
  <c r="G2292" i="1"/>
  <c r="G2291" i="1"/>
  <c r="G2289" i="1"/>
  <c r="G2288" i="1"/>
  <c r="G2285" i="1"/>
  <c r="G2284" i="1"/>
  <c r="G2283" i="1"/>
  <c r="G2282" i="1"/>
  <c r="G2281" i="1"/>
  <c r="G2280" i="1"/>
  <c r="G2279" i="1"/>
  <c r="G2276" i="1"/>
  <c r="G2275" i="1" s="1"/>
  <c r="G2274" i="1"/>
  <c r="G2273" i="1"/>
  <c r="G2272" i="1"/>
  <c r="G2271" i="1"/>
  <c r="G2270" i="1"/>
  <c r="G2268" i="1"/>
  <c r="G2267" i="1"/>
  <c r="G2264" i="1"/>
  <c r="G2263" i="1"/>
  <c r="G2262" i="1"/>
  <c r="G2261" i="1"/>
  <c r="G2260" i="1"/>
  <c r="G2259" i="1"/>
  <c r="G2258" i="1"/>
  <c r="G2257" i="1"/>
  <c r="G2256" i="1"/>
  <c r="G2254" i="1"/>
  <c r="G2253" i="1"/>
  <c r="G2250" i="1"/>
  <c r="G2249" i="1"/>
  <c r="G2248" i="1"/>
  <c r="G2246" i="1"/>
  <c r="G2245" i="1"/>
  <c r="G2244" i="1"/>
  <c r="G2243" i="1"/>
  <c r="G2240" i="1"/>
  <c r="G2239" i="1"/>
  <c r="G2238" i="1"/>
  <c r="G2237" i="1"/>
  <c r="G2234" i="1"/>
  <c r="G2233" i="1"/>
  <c r="G2231" i="1"/>
  <c r="G2230" i="1"/>
  <c r="G2229" i="1"/>
  <c r="G2228" i="1"/>
  <c r="G2225" i="1"/>
  <c r="G2224" i="1"/>
  <c r="G2222" i="1"/>
  <c r="G2221" i="1"/>
  <c r="G2218" i="1"/>
  <c r="G2217" i="1"/>
  <c r="G2215" i="1"/>
  <c r="G2214" i="1"/>
  <c r="G2213" i="1"/>
  <c r="G2212" i="1"/>
  <c r="G2211" i="1"/>
  <c r="G2210" i="1"/>
  <c r="G2208" i="1"/>
  <c r="G2207" i="1" s="1"/>
  <c r="G2204" i="1"/>
  <c r="G2203" i="1"/>
  <c r="G2202" i="1"/>
  <c r="G2201" i="1"/>
  <c r="G2200" i="1"/>
  <c r="G2199" i="1"/>
  <c r="G2198" i="1"/>
  <c r="G2195" i="1"/>
  <c r="G2194" i="1"/>
  <c r="G2193" i="1"/>
  <c r="G2189" i="1"/>
  <c r="G2188" i="1"/>
  <c r="G2187" i="1"/>
  <c r="G2186" i="1"/>
  <c r="G2185" i="1"/>
  <c r="G2184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0" i="1"/>
  <c r="G2159" i="1"/>
  <c r="G2158" i="1"/>
  <c r="G2157" i="1"/>
  <c r="G2156" i="1"/>
  <c r="G2154" i="1"/>
  <c r="G2153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5" i="1"/>
  <c r="G2134" i="1" s="1"/>
  <c r="G2133" i="1"/>
  <c r="G2132" i="1"/>
  <c r="G2131" i="1"/>
  <c r="G2129" i="1"/>
  <c r="G2128" i="1"/>
  <c r="G2127" i="1"/>
  <c r="G2125" i="1"/>
  <c r="G2124" i="1"/>
  <c r="G2123" i="1"/>
  <c r="G2120" i="1"/>
  <c r="G2119" i="1" s="1"/>
  <c r="G2118" i="1"/>
  <c r="G2117" i="1" s="1"/>
  <c r="G2116" i="1"/>
  <c r="G2115" i="1"/>
  <c r="G2113" i="1"/>
  <c r="G2112" i="1"/>
  <c r="G2111" i="1"/>
  <c r="G2110" i="1"/>
  <c r="G2109" i="1"/>
  <c r="G2108" i="1"/>
  <c r="G2106" i="1"/>
  <c r="G2105" i="1"/>
  <c r="G2104" i="1"/>
  <c r="G2101" i="1"/>
  <c r="G2100" i="1"/>
  <c r="G2099" i="1"/>
  <c r="G2098" i="1"/>
  <c r="G2094" i="1"/>
  <c r="G2093" i="1" s="1"/>
  <c r="G2092" i="1"/>
  <c r="G2091" i="1"/>
  <c r="G2090" i="1"/>
  <c r="G2088" i="1"/>
  <c r="G2087" i="1"/>
  <c r="G2085" i="1"/>
  <c r="G2084" i="1"/>
  <c r="G2083" i="1"/>
  <c r="G2082" i="1"/>
  <c r="G2080" i="1"/>
  <c r="G2079" i="1"/>
  <c r="G2077" i="1"/>
  <c r="G2076" i="1"/>
  <c r="G2075" i="1"/>
  <c r="G2073" i="1"/>
  <c r="G2072" i="1"/>
  <c r="G2071" i="1"/>
  <c r="G2069" i="1"/>
  <c r="G2068" i="1"/>
  <c r="G2067" i="1"/>
  <c r="G2066" i="1"/>
  <c r="G2064" i="1"/>
  <c r="G2063" i="1"/>
  <c r="G2060" i="1"/>
  <c r="G2059" i="1"/>
  <c r="G2058" i="1"/>
  <c r="G2057" i="1"/>
  <c r="G2055" i="1"/>
  <c r="G2054" i="1" s="1"/>
  <c r="G2053" i="1"/>
  <c r="G2052" i="1" s="1"/>
  <c r="G2051" i="1"/>
  <c r="G2050" i="1"/>
  <c r="G2049" i="1"/>
  <c r="G2048" i="1"/>
  <c r="G2047" i="1"/>
  <c r="G2045" i="1"/>
  <c r="G2044" i="1" s="1"/>
  <c r="G2043" i="1"/>
  <c r="G2042" i="1"/>
  <c r="G2041" i="1"/>
  <c r="G2039" i="1"/>
  <c r="G2038" i="1"/>
  <c r="G2037" i="1"/>
  <c r="G2036" i="1"/>
  <c r="G2034" i="1"/>
  <c r="G2033" i="1" s="1"/>
  <c r="G2030" i="1"/>
  <c r="G2029" i="1" s="1"/>
  <c r="G2028" i="1"/>
  <c r="G2027" i="1" s="1"/>
  <c r="G2026" i="1"/>
  <c r="G2025" i="1"/>
  <c r="G2024" i="1"/>
  <c r="G2023" i="1"/>
  <c r="G2021" i="1"/>
  <c r="G2020" i="1"/>
  <c r="G2019" i="1"/>
  <c r="G2018" i="1"/>
  <c r="G2016" i="1"/>
  <c r="G2015" i="1"/>
  <c r="G2014" i="1"/>
  <c r="G2013" i="1"/>
  <c r="G2012" i="1"/>
  <c r="G2011" i="1"/>
  <c r="G2009" i="1"/>
  <c r="G2008" i="1"/>
  <c r="G2007" i="1"/>
  <c r="G2006" i="1"/>
  <c r="G2005" i="1"/>
  <c r="G2004" i="1"/>
  <c r="G2003" i="1"/>
  <c r="G2002" i="1"/>
  <c r="G2000" i="1"/>
  <c r="G1999" i="1" s="1"/>
  <c r="G1998" i="1"/>
  <c r="G1997" i="1"/>
  <c r="G1996" i="1"/>
  <c r="G1995" i="1"/>
  <c r="G1994" i="1"/>
  <c r="G1993" i="1"/>
  <c r="G1992" i="1"/>
  <c r="G1991" i="1"/>
  <c r="G1990" i="1"/>
  <c r="G1988" i="1"/>
  <c r="G1987" i="1"/>
  <c r="G1986" i="1"/>
  <c r="G1985" i="1"/>
  <c r="G1984" i="1"/>
  <c r="G1982" i="1"/>
  <c r="G1981" i="1"/>
  <c r="G1980" i="1"/>
  <c r="G1979" i="1"/>
  <c r="G1978" i="1"/>
  <c r="G1977" i="1"/>
  <c r="G1976" i="1"/>
  <c r="G1975" i="1"/>
  <c r="G1972" i="1"/>
  <c r="G1971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0" i="1"/>
  <c r="G1949" i="1"/>
  <c r="G1945" i="1"/>
  <c r="G1944" i="1"/>
  <c r="G1943" i="1"/>
  <c r="G1942" i="1"/>
  <c r="G1941" i="1"/>
  <c r="G1940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1" i="1"/>
  <c r="G1920" i="1" s="1"/>
  <c r="G1919" i="1"/>
  <c r="G1918" i="1"/>
  <c r="G1917" i="1"/>
  <c r="G1916" i="1"/>
  <c r="G1915" i="1"/>
  <c r="G1914" i="1"/>
  <c r="G1913" i="1"/>
  <c r="G1912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7" i="1"/>
  <c r="G1876" i="1"/>
  <c r="G1875" i="1"/>
  <c r="G1874" i="1"/>
  <c r="G1873" i="1"/>
  <c r="G1871" i="1"/>
  <c r="G1870" i="1"/>
  <c r="G1869" i="1"/>
  <c r="G1868" i="1"/>
  <c r="G1867" i="1"/>
  <c r="G1866" i="1"/>
  <c r="G1865" i="1"/>
  <c r="G1864" i="1"/>
  <c r="G1863" i="1"/>
  <c r="G1862" i="1"/>
  <c r="G1858" i="1"/>
  <c r="G1857" i="1" s="1"/>
  <c r="G1856" i="1"/>
  <c r="G1855" i="1"/>
  <c r="G1854" i="1"/>
  <c r="G1852" i="1"/>
  <c r="G1851" i="1"/>
  <c r="G1849" i="1"/>
  <c r="G1848" i="1" s="1"/>
  <c r="G1847" i="1"/>
  <c r="G1846" i="1"/>
  <c r="G1845" i="1"/>
  <c r="G1842" i="1"/>
  <c r="G1841" i="1" s="1"/>
  <c r="G1840" i="1"/>
  <c r="G1839" i="1" s="1"/>
  <c r="G1838" i="1"/>
  <c r="G1837" i="1" s="1"/>
  <c r="G1836" i="1"/>
  <c r="G1835" i="1"/>
  <c r="G1834" i="1"/>
  <c r="G1833" i="1"/>
  <c r="G1831" i="1"/>
  <c r="G1830" i="1"/>
  <c r="G1829" i="1"/>
  <c r="G1828" i="1"/>
  <c r="G1827" i="1"/>
  <c r="G1825" i="1"/>
  <c r="G1824" i="1"/>
  <c r="G1823" i="1"/>
  <c r="G1819" i="1"/>
  <c r="G1818" i="1" s="1"/>
  <c r="G1817" i="1"/>
  <c r="G1816" i="1"/>
  <c r="G1814" i="1"/>
  <c r="G1813" i="1"/>
  <c r="G1811" i="1"/>
  <c r="G1810" i="1" s="1"/>
  <c r="G1809" i="1"/>
  <c r="G1808" i="1"/>
  <c r="G1806" i="1"/>
  <c r="G1805" i="1"/>
  <c r="G1804" i="1"/>
  <c r="G1803" i="1"/>
  <c r="G1801" i="1"/>
  <c r="G1800" i="1"/>
  <c r="G1799" i="1"/>
  <c r="G1797" i="1"/>
  <c r="G1796" i="1"/>
  <c r="G1795" i="1"/>
  <c r="G1793" i="1"/>
  <c r="G1792" i="1"/>
  <c r="G1791" i="1"/>
  <c r="G1790" i="1"/>
  <c r="G1789" i="1"/>
  <c r="G1787" i="1"/>
  <c r="G1786" i="1" s="1"/>
  <c r="G1784" i="1"/>
  <c r="G1783" i="1"/>
  <c r="G1782" i="1"/>
  <c r="G1780" i="1"/>
  <c r="G1779" i="1" s="1"/>
  <c r="G1778" i="1"/>
  <c r="G1777" i="1" s="1"/>
  <c r="G1776" i="1"/>
  <c r="G1775" i="1"/>
  <c r="G1774" i="1"/>
  <c r="G1773" i="1"/>
  <c r="G1772" i="1"/>
  <c r="G1770" i="1"/>
  <c r="G1769" i="1"/>
  <c r="G1768" i="1"/>
  <c r="G1767" i="1"/>
  <c r="G1765" i="1"/>
  <c r="G1764" i="1"/>
  <c r="G1762" i="1"/>
  <c r="G1761" i="1"/>
  <c r="G1760" i="1"/>
  <c r="G1758" i="1"/>
  <c r="G1757" i="1"/>
  <c r="G1755" i="1"/>
  <c r="G1754" i="1"/>
  <c r="G1753" i="1"/>
  <c r="G1749" i="1"/>
  <c r="G1748" i="1" s="1"/>
  <c r="G1747" i="1"/>
  <c r="G1746" i="1" s="1"/>
  <c r="G1745" i="1"/>
  <c r="G1744" i="1"/>
  <c r="G1743" i="1"/>
  <c r="G1742" i="1"/>
  <c r="G1741" i="1"/>
  <c r="G1739" i="1"/>
  <c r="G1738" i="1"/>
  <c r="G1737" i="1"/>
  <c r="G1736" i="1"/>
  <c r="G1734" i="1"/>
  <c r="G1733" i="1"/>
  <c r="G1732" i="1"/>
  <c r="G1731" i="1"/>
  <c r="G1730" i="1"/>
  <c r="G1729" i="1"/>
  <c r="G1727" i="1"/>
  <c r="G1726" i="1"/>
  <c r="G1725" i="1"/>
  <c r="G1724" i="1"/>
  <c r="G1723" i="1"/>
  <c r="G1722" i="1"/>
  <c r="G1721" i="1"/>
  <c r="G1720" i="1"/>
  <c r="G1719" i="1"/>
  <c r="G1717" i="1"/>
  <c r="G1716" i="1" s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0" i="1"/>
  <c r="G1699" i="1"/>
  <c r="G1698" i="1"/>
  <c r="G1697" i="1"/>
  <c r="G1696" i="1"/>
  <c r="G1695" i="1"/>
  <c r="G1694" i="1"/>
  <c r="G1693" i="1"/>
  <c r="G1692" i="1"/>
  <c r="G1690" i="1"/>
  <c r="G1689" i="1"/>
  <c r="G1688" i="1"/>
  <c r="G1687" i="1"/>
  <c r="G1686" i="1"/>
  <c r="G1685" i="1"/>
  <c r="G1684" i="1"/>
  <c r="G1683" i="1"/>
  <c r="G1680" i="1"/>
  <c r="G1679" i="1"/>
  <c r="G1678" i="1"/>
  <c r="G1677" i="1"/>
  <c r="G1676" i="1"/>
  <c r="G1673" i="1"/>
  <c r="G1672" i="1"/>
  <c r="G1670" i="1"/>
  <c r="G1669" i="1"/>
  <c r="G1667" i="1"/>
  <c r="G1666" i="1"/>
  <c r="G1664" i="1"/>
  <c r="G1663" i="1"/>
  <c r="G1661" i="1"/>
  <c r="G1660" i="1"/>
  <c r="G1658" i="1"/>
  <c r="G1657" i="1"/>
  <c r="G1655" i="1"/>
  <c r="G1654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3" i="1"/>
  <c r="G1632" i="1"/>
  <c r="G1628" i="1"/>
  <c r="G1627" i="1"/>
  <c r="G1626" i="1"/>
  <c r="G1625" i="1"/>
  <c r="G1624" i="1"/>
  <c r="G1623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6" i="1"/>
  <c r="G1595" i="1"/>
  <c r="G1594" i="1"/>
  <c r="G1593" i="1"/>
  <c r="G1592" i="1"/>
  <c r="G1591" i="1"/>
  <c r="G1589" i="1"/>
  <c r="G1588" i="1"/>
  <c r="G1586" i="1"/>
  <c r="G1585" i="1"/>
  <c r="G1584" i="1"/>
  <c r="G1583" i="1"/>
  <c r="G1582" i="1"/>
  <c r="G1581" i="1"/>
  <c r="G1580" i="1"/>
  <c r="G1579" i="1"/>
  <c r="G1578" i="1"/>
  <c r="G1577" i="1"/>
  <c r="G1576" i="1"/>
  <c r="G1573" i="1"/>
  <c r="G1572" i="1" s="1"/>
  <c r="G1571" i="1"/>
  <c r="G1570" i="1"/>
  <c r="G1569" i="1"/>
  <c r="G1567" i="1"/>
  <c r="G1566" i="1" s="1"/>
  <c r="G1565" i="1"/>
  <c r="G1564" i="1"/>
  <c r="G1563" i="1"/>
  <c r="G1561" i="1"/>
  <c r="G1560" i="1" s="1"/>
  <c r="G1559" i="1"/>
  <c r="G1558" i="1" s="1"/>
  <c r="G1557" i="1"/>
  <c r="G1556" i="1" s="1"/>
  <c r="G1555" i="1"/>
  <c r="G1554" i="1" s="1"/>
  <c r="G1553" i="1"/>
  <c r="G1552" i="1"/>
  <c r="G1551" i="1"/>
  <c r="G1550" i="1"/>
  <c r="G1549" i="1"/>
  <c r="G1548" i="1"/>
  <c r="G1546" i="1"/>
  <c r="G1545" i="1"/>
  <c r="G1544" i="1"/>
  <c r="G1542" i="1"/>
  <c r="G1541" i="1"/>
  <c r="G1540" i="1"/>
  <c r="G1536" i="1"/>
  <c r="G1535" i="1" s="1"/>
  <c r="G1534" i="1"/>
  <c r="G1533" i="1"/>
  <c r="G1531" i="1"/>
  <c r="G1530" i="1"/>
  <c r="G1529" i="1"/>
  <c r="G1528" i="1"/>
  <c r="G1527" i="1"/>
  <c r="G1525" i="1"/>
  <c r="G1524" i="1" s="1"/>
  <c r="G1523" i="1"/>
  <c r="G1522" i="1" s="1"/>
  <c r="G1521" i="1"/>
  <c r="G1520" i="1"/>
  <c r="G1518" i="1"/>
  <c r="G1517" i="1"/>
  <c r="G1516" i="1"/>
  <c r="G1514" i="1"/>
  <c r="G1513" i="1"/>
  <c r="G1512" i="1"/>
  <c r="G1510" i="1"/>
  <c r="G1509" i="1"/>
  <c r="G1508" i="1"/>
  <c r="G1507" i="1"/>
  <c r="G1505" i="1"/>
  <c r="G1504" i="1"/>
  <c r="G1501" i="1"/>
  <c r="G1500" i="1"/>
  <c r="G1499" i="1"/>
  <c r="G1498" i="1"/>
  <c r="G1496" i="1"/>
  <c r="G1495" i="1" s="1"/>
  <c r="G1494" i="1"/>
  <c r="G1493" i="1"/>
  <c r="G1492" i="1"/>
  <c r="G1491" i="1"/>
  <c r="G1489" i="1"/>
  <c r="G1488" i="1"/>
  <c r="G1486" i="1"/>
  <c r="G1485" i="1" s="1"/>
  <c r="G1484" i="1"/>
  <c r="G1483" i="1" s="1"/>
  <c r="G1480" i="1"/>
  <c r="G1479" i="1" s="1"/>
  <c r="G1478" i="1"/>
  <c r="G1477" i="1" s="1"/>
  <c r="G1476" i="1"/>
  <c r="G1475" i="1"/>
  <c r="G1474" i="1"/>
  <c r="G1473" i="1"/>
  <c r="G1472" i="1"/>
  <c r="G1470" i="1"/>
  <c r="G1469" i="1"/>
  <c r="G1468" i="1"/>
  <c r="G1467" i="1"/>
  <c r="G1465" i="1"/>
  <c r="G1464" i="1"/>
  <c r="G1463" i="1"/>
  <c r="G1462" i="1"/>
  <c r="G1461" i="1"/>
  <c r="G1460" i="1"/>
  <c r="G1459" i="1"/>
  <c r="G1457" i="1"/>
  <c r="G1456" i="1"/>
  <c r="G1455" i="1"/>
  <c r="G1454" i="1"/>
  <c r="G1453" i="1"/>
  <c r="G1452" i="1"/>
  <c r="G1451" i="1"/>
  <c r="G1449" i="1"/>
  <c r="G1448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0" i="1"/>
  <c r="G1429" i="1"/>
  <c r="G1428" i="1"/>
  <c r="G1427" i="1"/>
  <c r="G1426" i="1"/>
  <c r="G1425" i="1"/>
  <c r="G1424" i="1"/>
  <c r="G1423" i="1"/>
  <c r="G1422" i="1"/>
  <c r="G1420" i="1"/>
  <c r="G1419" i="1"/>
  <c r="G1418" i="1"/>
  <c r="G1417" i="1"/>
  <c r="G1416" i="1"/>
  <c r="G1415" i="1"/>
  <c r="G1414" i="1"/>
  <c r="G1413" i="1"/>
  <c r="G1412" i="1"/>
  <c r="G1411" i="1"/>
  <c r="G1408" i="1"/>
  <c r="G1407" i="1"/>
  <c r="G1406" i="1"/>
  <c r="G1405" i="1"/>
  <c r="G1404" i="1"/>
  <c r="G1401" i="1"/>
  <c r="G1400" i="1"/>
  <c r="G1398" i="1"/>
  <c r="G1397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69" i="1"/>
  <c r="G1368" i="1"/>
  <c r="G1367" i="1"/>
  <c r="G1362" i="1"/>
  <c r="G1361" i="1" s="1"/>
  <c r="G1360" i="1"/>
  <c r="G1359" i="1" s="1"/>
  <c r="G1358" i="1"/>
  <c r="G1357" i="1"/>
  <c r="G1354" i="1"/>
  <c r="G1353" i="1" s="1"/>
  <c r="G1352" i="1"/>
  <c r="G1351" i="1" s="1"/>
  <c r="G1349" i="1"/>
  <c r="G1348" i="1" s="1"/>
  <c r="G1347" i="1"/>
  <c r="G1346" i="1" s="1"/>
  <c r="G1345" i="1"/>
  <c r="G1344" i="1"/>
  <c r="G1343" i="1"/>
  <c r="G1342" i="1"/>
  <c r="G1340" i="1"/>
  <c r="G1339" i="1"/>
  <c r="G1338" i="1"/>
  <c r="G1337" i="1"/>
  <c r="G1336" i="1"/>
  <c r="G1334" i="1"/>
  <c r="G1333" i="1" s="1"/>
  <c r="G1331" i="1"/>
  <c r="G1330" i="1" s="1"/>
  <c r="G1329" i="1"/>
  <c r="G1328" i="1" s="1"/>
  <c r="G1327" i="1"/>
  <c r="G1326" i="1"/>
  <c r="G1323" i="1"/>
  <c r="G1322" i="1"/>
  <c r="G1321" i="1"/>
  <c r="G1320" i="1"/>
  <c r="G1319" i="1"/>
  <c r="G1316" i="1"/>
  <c r="G1315" i="1"/>
  <c r="G1313" i="1"/>
  <c r="G1312" i="1" s="1"/>
  <c r="G1311" i="1"/>
  <c r="G1310" i="1"/>
  <c r="G1309" i="1"/>
  <c r="G1307" i="1"/>
  <c r="G1306" i="1"/>
  <c r="G1304" i="1"/>
  <c r="G1303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8" i="1"/>
  <c r="G1287" i="1"/>
  <c r="G1286" i="1"/>
  <c r="G1284" i="1"/>
  <c r="G1283" i="1"/>
  <c r="G1282" i="1"/>
  <c r="G1280" i="1"/>
  <c r="G1279" i="1"/>
  <c r="G1278" i="1"/>
  <c r="G1276" i="1"/>
  <c r="G1275" i="1"/>
  <c r="G1274" i="1"/>
  <c r="G1272" i="1"/>
  <c r="G1271" i="1"/>
  <c r="G1269" i="1"/>
  <c r="G1268" i="1"/>
  <c r="G1265" i="1"/>
  <c r="G1264" i="1"/>
  <c r="G1263" i="1"/>
  <c r="G1262" i="1"/>
  <c r="G1260" i="1"/>
  <c r="G1259" i="1"/>
  <c r="G1258" i="1"/>
  <c r="G1257" i="1"/>
  <c r="G1255" i="1"/>
  <c r="G1254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0" i="1"/>
  <c r="G1219" i="1"/>
  <c r="G1218" i="1"/>
  <c r="G1217" i="1"/>
  <c r="G1216" i="1"/>
  <c r="G1215" i="1"/>
  <c r="G1214" i="1"/>
  <c r="G1213" i="1"/>
  <c r="G1211" i="1"/>
  <c r="G1210" i="1"/>
  <c r="G1208" i="1"/>
  <c r="G1207" i="1" s="1"/>
  <c r="G1206" i="1"/>
  <c r="G1205" i="1"/>
  <c r="G1204" i="1"/>
  <c r="G1202" i="1"/>
  <c r="G1201" i="1"/>
  <c r="G1199" i="1"/>
  <c r="G1198" i="1"/>
  <c r="G1197" i="1"/>
  <c r="G1195" i="1"/>
  <c r="G1194" i="1"/>
  <c r="G1193" i="1"/>
  <c r="G1192" i="1"/>
  <c r="G1191" i="1"/>
  <c r="G1190" i="1"/>
  <c r="G1189" i="1"/>
  <c r="G1187" i="1"/>
  <c r="G1186" i="1" s="1"/>
  <c r="G1185" i="1"/>
  <c r="G1184" i="1"/>
  <c r="G1183" i="1"/>
  <c r="G1181" i="1"/>
  <c r="G1180" i="1"/>
  <c r="G1179" i="1"/>
  <c r="G1177" i="1"/>
  <c r="G1176" i="1"/>
  <c r="G1175" i="1"/>
  <c r="G1173" i="1"/>
  <c r="G1172" i="1"/>
  <c r="G1169" i="1"/>
  <c r="G1168" i="1"/>
  <c r="G1167" i="1"/>
  <c r="G1166" i="1"/>
  <c r="G1164" i="1"/>
  <c r="G1163" i="1"/>
  <c r="G1162" i="1"/>
  <c r="G1161" i="1"/>
  <c r="G1159" i="1"/>
  <c r="G1158" i="1"/>
  <c r="G1155" i="1"/>
  <c r="G1154" i="1" s="1"/>
  <c r="G1153" i="1"/>
  <c r="G1152" i="1" s="1"/>
  <c r="G1151" i="1"/>
  <c r="G1150" i="1"/>
  <c r="G1149" i="1"/>
  <c r="G1147" i="1"/>
  <c r="G1146" i="1"/>
  <c r="G1144" i="1"/>
  <c r="G1143" i="1" s="1"/>
  <c r="G1142" i="1"/>
  <c r="G1141" i="1"/>
  <c r="G1140" i="1"/>
  <c r="G1139" i="1"/>
  <c r="G1138" i="1"/>
  <c r="G1137" i="1"/>
  <c r="G1136" i="1"/>
  <c r="G1134" i="1"/>
  <c r="G1133" i="1"/>
  <c r="G1132" i="1"/>
  <c r="G1130" i="1"/>
  <c r="G1129" i="1"/>
  <c r="G1128" i="1"/>
  <c r="G1126" i="1"/>
  <c r="G1125" i="1"/>
  <c r="G1124" i="1"/>
  <c r="G1122" i="1"/>
  <c r="G1121" i="1"/>
  <c r="G1118" i="1"/>
  <c r="G1117" i="1"/>
  <c r="G1116" i="1"/>
  <c r="G1115" i="1"/>
  <c r="G1113" i="1"/>
  <c r="G1112" i="1"/>
  <c r="G1111" i="1"/>
  <c r="G1110" i="1"/>
  <c r="G1108" i="1"/>
  <c r="G1107" i="1"/>
  <c r="G1104" i="1"/>
  <c r="G1103" i="1"/>
  <c r="G1102" i="1"/>
  <c r="G1101" i="1"/>
  <c r="G1099" i="1"/>
  <c r="G1098" i="1"/>
  <c r="G1097" i="1"/>
  <c r="G1096" i="1"/>
  <c r="G1094" i="1"/>
  <c r="G1093" i="1"/>
  <c r="G1092" i="1"/>
  <c r="G1090" i="1"/>
  <c r="G1089" i="1"/>
  <c r="G1088" i="1"/>
  <c r="G1086" i="1"/>
  <c r="G1085" i="1"/>
  <c r="G1082" i="1"/>
  <c r="G1081" i="1" s="1"/>
  <c r="G1080" i="1"/>
  <c r="G1079" i="1"/>
  <c r="G1078" i="1"/>
  <c r="G1076" i="1"/>
  <c r="G1075" i="1"/>
  <c r="G1072" i="1"/>
  <c r="G1071" i="1"/>
  <c r="G1069" i="1"/>
  <c r="G1068" i="1" s="1"/>
  <c r="G1067" i="1"/>
  <c r="G1066" i="1"/>
  <c r="G1065" i="1"/>
  <c r="G1063" i="1"/>
  <c r="G1062" i="1"/>
  <c r="G1060" i="1"/>
  <c r="G1059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4" i="1"/>
  <c r="G1043" i="1"/>
  <c r="G1042" i="1"/>
  <c r="G1040" i="1"/>
  <c r="G1039" i="1"/>
  <c r="G1038" i="1"/>
  <c r="G1036" i="1"/>
  <c r="G1035" i="1"/>
  <c r="G1034" i="1"/>
  <c r="G1032" i="1"/>
  <c r="G1031" i="1"/>
  <c r="G1030" i="1"/>
  <c r="G1028" i="1"/>
  <c r="G1027" i="1"/>
  <c r="G1025" i="1"/>
  <c r="G1024" i="1"/>
  <c r="G1021" i="1"/>
  <c r="G1020" i="1"/>
  <c r="G1019" i="1"/>
  <c r="G1018" i="1"/>
  <c r="G1017" i="1"/>
  <c r="G1016" i="1"/>
  <c r="G1014" i="1"/>
  <c r="G1013" i="1"/>
  <c r="G1012" i="1"/>
  <c r="G1011" i="1"/>
  <c r="G1008" i="1"/>
  <c r="G1007" i="1" s="1"/>
  <c r="G1006" i="1"/>
  <c r="G1005" i="1"/>
  <c r="G1004" i="1"/>
  <c r="G1002" i="1"/>
  <c r="G1001" i="1"/>
  <c r="G999" i="1"/>
  <c r="G998" i="1"/>
  <c r="G997" i="1"/>
  <c r="G996" i="1"/>
  <c r="G995" i="1"/>
  <c r="G994" i="1"/>
  <c r="G993" i="1"/>
  <c r="G991" i="1"/>
  <c r="G990" i="1"/>
  <c r="G989" i="1"/>
  <c r="G987" i="1"/>
  <c r="G986" i="1"/>
  <c r="G985" i="1"/>
  <c r="G983" i="1"/>
  <c r="G982" i="1"/>
  <c r="G979" i="1"/>
  <c r="G978" i="1" s="1"/>
  <c r="G977" i="1"/>
  <c r="G976" i="1"/>
  <c r="G975" i="1"/>
  <c r="G974" i="1"/>
  <c r="G972" i="1"/>
  <c r="G971" i="1"/>
  <c r="G970" i="1"/>
  <c r="G966" i="1"/>
  <c r="G965" i="1" s="1"/>
  <c r="G964" i="1"/>
  <c r="G963" i="1" s="1"/>
  <c r="G962" i="1"/>
  <c r="G961" i="1"/>
  <c r="G960" i="1"/>
  <c r="G958" i="1"/>
  <c r="G957" i="1"/>
  <c r="G954" i="1"/>
  <c r="G953" i="1" s="1"/>
  <c r="G952" i="1"/>
  <c r="G951" i="1"/>
  <c r="G950" i="1"/>
  <c r="G949" i="1"/>
  <c r="G947" i="1"/>
  <c r="G946" i="1"/>
  <c r="G943" i="1"/>
  <c r="G942" i="1"/>
  <c r="G941" i="1"/>
  <c r="G939" i="1"/>
  <c r="G938" i="1"/>
  <c r="G937" i="1"/>
  <c r="G936" i="1"/>
  <c r="G934" i="1"/>
  <c r="G933" i="1"/>
  <c r="G932" i="1"/>
  <c r="G930" i="1"/>
  <c r="G929" i="1"/>
  <c r="G928" i="1"/>
  <c r="G926" i="1"/>
  <c r="G925" i="1"/>
  <c r="G922" i="1"/>
  <c r="G921" i="1" s="1"/>
  <c r="G920" i="1"/>
  <c r="G919" i="1"/>
  <c r="G918" i="1"/>
  <c r="G916" i="1"/>
  <c r="G915" i="1"/>
  <c r="G912" i="1"/>
  <c r="G911" i="1"/>
  <c r="G909" i="1"/>
  <c r="G908" i="1"/>
  <c r="G907" i="1"/>
  <c r="G905" i="1"/>
  <c r="G904" i="1"/>
  <c r="G902" i="1"/>
  <c r="G901" i="1" s="1"/>
  <c r="G900" i="1"/>
  <c r="G899" i="1"/>
  <c r="G898" i="1"/>
  <c r="G897" i="1"/>
  <c r="G896" i="1"/>
  <c r="G895" i="1"/>
  <c r="G894" i="1"/>
  <c r="G892" i="1"/>
  <c r="G891" i="1"/>
  <c r="G890" i="1"/>
  <c r="G888" i="1"/>
  <c r="G887" i="1"/>
  <c r="G886" i="1"/>
  <c r="G884" i="1"/>
  <c r="G883" i="1"/>
  <c r="G882" i="1"/>
  <c r="G880" i="1"/>
  <c r="G879" i="1"/>
  <c r="G876" i="1"/>
  <c r="G875" i="1"/>
  <c r="G874" i="1"/>
  <c r="G873" i="1"/>
  <c r="G871" i="1"/>
  <c r="G870" i="1"/>
  <c r="G869" i="1"/>
  <c r="G868" i="1"/>
  <c r="G866" i="1"/>
  <c r="G865" i="1"/>
  <c r="G862" i="1"/>
  <c r="G861" i="1" s="1"/>
  <c r="G860" i="1"/>
  <c r="G859" i="1" s="1"/>
  <c r="G858" i="1"/>
  <c r="G857" i="1"/>
  <c r="G856" i="1"/>
  <c r="G854" i="1"/>
  <c r="G853" i="1"/>
  <c r="G851" i="1"/>
  <c r="G850" i="1" s="1"/>
  <c r="G849" i="1"/>
  <c r="G848" i="1"/>
  <c r="G847" i="1"/>
  <c r="G846" i="1"/>
  <c r="G845" i="1"/>
  <c r="G844" i="1"/>
  <c r="G843" i="1"/>
  <c r="G841" i="1"/>
  <c r="G840" i="1"/>
  <c r="G839" i="1"/>
  <c r="G837" i="1"/>
  <c r="G836" i="1"/>
  <c r="G835" i="1"/>
  <c r="G833" i="1"/>
  <c r="G832" i="1"/>
  <c r="G831" i="1"/>
  <c r="G829" i="1"/>
  <c r="G828" i="1"/>
  <c r="G825" i="1"/>
  <c r="G824" i="1"/>
  <c r="G823" i="1"/>
  <c r="G822" i="1"/>
  <c r="G820" i="1"/>
  <c r="G819" i="1"/>
  <c r="G818" i="1"/>
  <c r="G817" i="1"/>
  <c r="G815" i="1"/>
  <c r="G814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3" i="1"/>
  <c r="G772" i="1"/>
  <c r="G771" i="1"/>
  <c r="G770" i="1"/>
  <c r="G769" i="1"/>
  <c r="G768" i="1"/>
  <c r="G767" i="1"/>
  <c r="G765" i="1"/>
  <c r="G764" i="1" s="1"/>
  <c r="G763" i="1"/>
  <c r="G762" i="1" s="1"/>
  <c r="G761" i="1"/>
  <c r="G760" i="1"/>
  <c r="G759" i="1"/>
  <c r="G757" i="1"/>
  <c r="G756" i="1"/>
  <c r="G754" i="1"/>
  <c r="G753" i="1"/>
  <c r="G751" i="1"/>
  <c r="G750" i="1"/>
  <c r="G749" i="1"/>
  <c r="G748" i="1"/>
  <c r="G747" i="1"/>
  <c r="G746" i="1"/>
  <c r="G745" i="1"/>
  <c r="G743" i="1"/>
  <c r="G742" i="1" s="1"/>
  <c r="G741" i="1"/>
  <c r="G740" i="1"/>
  <c r="G739" i="1"/>
  <c r="G737" i="1"/>
  <c r="G736" i="1"/>
  <c r="G735" i="1"/>
  <c r="G733" i="1"/>
  <c r="G732" i="1"/>
  <c r="G731" i="1"/>
  <c r="G729" i="1"/>
  <c r="G728" i="1"/>
  <c r="G725" i="1"/>
  <c r="G724" i="1"/>
  <c r="G723" i="1"/>
  <c r="G722" i="1"/>
  <c r="G720" i="1"/>
  <c r="G719" i="1"/>
  <c r="G718" i="1"/>
  <c r="G717" i="1"/>
  <c r="G715" i="1"/>
  <c r="G714" i="1"/>
  <c r="G711" i="1"/>
  <c r="G710" i="1"/>
  <c r="G709" i="1"/>
  <c r="G708" i="1"/>
  <c r="G706" i="1"/>
  <c r="G705" i="1"/>
  <c r="G704" i="1"/>
  <c r="G703" i="1"/>
  <c r="G701" i="1"/>
  <c r="G700" i="1"/>
  <c r="G699" i="1"/>
  <c r="G697" i="1"/>
  <c r="G696" i="1"/>
  <c r="G695" i="1"/>
  <c r="G693" i="1"/>
  <c r="G692" i="1"/>
  <c r="G689" i="1"/>
  <c r="G688" i="1" s="1"/>
  <c r="G687" i="1"/>
  <c r="G686" i="1"/>
  <c r="G685" i="1"/>
  <c r="G683" i="1"/>
  <c r="G682" i="1"/>
  <c r="G679" i="1"/>
  <c r="G678" i="1" s="1"/>
  <c r="G677" i="1"/>
  <c r="G676" i="1" s="1"/>
  <c r="G675" i="1"/>
  <c r="G674" i="1"/>
  <c r="G673" i="1"/>
  <c r="G672" i="1"/>
  <c r="G670" i="1"/>
  <c r="G669" i="1"/>
  <c r="G668" i="1"/>
  <c r="G667" i="1"/>
  <c r="G666" i="1"/>
  <c r="G665" i="1"/>
  <c r="G663" i="1"/>
  <c r="G662" i="1" s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8" i="1"/>
  <c r="G647" i="1"/>
  <c r="G646" i="1"/>
  <c r="G644" i="1"/>
  <c r="G643" i="1"/>
  <c r="G642" i="1"/>
  <c r="G640" i="1"/>
  <c r="G639" i="1"/>
  <c r="G638" i="1"/>
  <c r="G636" i="1"/>
  <c r="G635" i="1"/>
  <c r="G634" i="1"/>
  <c r="G631" i="1"/>
  <c r="G630" i="1"/>
  <c r="G629" i="1"/>
  <c r="G628" i="1"/>
  <c r="G625" i="1"/>
  <c r="G624" i="1"/>
  <c r="G622" i="1"/>
  <c r="G621" i="1"/>
  <c r="G620" i="1"/>
  <c r="G618" i="1"/>
  <c r="G617" i="1" s="1"/>
  <c r="G616" i="1"/>
  <c r="G615" i="1" s="1"/>
  <c r="G614" i="1"/>
  <c r="G613" i="1"/>
  <c r="G612" i="1"/>
  <c r="G611" i="1"/>
  <c r="G610" i="1"/>
  <c r="G609" i="1"/>
  <c r="G608" i="1"/>
  <c r="G607" i="1"/>
  <c r="G606" i="1"/>
  <c r="G605" i="1"/>
  <c r="G604" i="1"/>
  <c r="G602" i="1"/>
  <c r="G601" i="1"/>
  <c r="G600" i="1"/>
  <c r="G598" i="1"/>
  <c r="G597" i="1"/>
  <c r="G596" i="1"/>
  <c r="G594" i="1"/>
  <c r="G593" i="1"/>
  <c r="G592" i="1"/>
  <c r="G590" i="1"/>
  <c r="G589" i="1"/>
  <c r="G588" i="1"/>
  <c r="G585" i="1"/>
  <c r="G584" i="1" s="1"/>
  <c r="G583" i="1"/>
  <c r="G582" i="1"/>
  <c r="G581" i="1"/>
  <c r="G579" i="1"/>
  <c r="G578" i="1"/>
  <c r="G577" i="1"/>
  <c r="G576" i="1"/>
  <c r="G575" i="1"/>
  <c r="G571" i="1"/>
  <c r="G570" i="1" s="1"/>
  <c r="G569" i="1"/>
  <c r="G568" i="1"/>
  <c r="G567" i="1"/>
  <c r="G566" i="1"/>
  <c r="G564" i="1"/>
  <c r="G563" i="1"/>
  <c r="G560" i="1"/>
  <c r="G559" i="1"/>
  <c r="G558" i="1"/>
  <c r="G556" i="1"/>
  <c r="G555" i="1"/>
  <c r="G553" i="1"/>
  <c r="G552" i="1" s="1"/>
  <c r="G551" i="1"/>
  <c r="G550" i="1" s="1"/>
  <c r="G549" i="1"/>
  <c r="G548" i="1"/>
  <c r="G547" i="1"/>
  <c r="G545" i="1"/>
  <c r="G544" i="1"/>
  <c r="G543" i="1"/>
  <c r="G541" i="1"/>
  <c r="G540" i="1"/>
  <c r="G539" i="1"/>
  <c r="G536" i="1"/>
  <c r="G535" i="1"/>
  <c r="G534" i="1"/>
  <c r="G532" i="1"/>
  <c r="G531" i="1"/>
  <c r="G530" i="1"/>
  <c r="G529" i="1"/>
  <c r="G527" i="1"/>
  <c r="G526" i="1"/>
  <c r="G523" i="1"/>
  <c r="G522" i="1"/>
  <c r="G521" i="1"/>
  <c r="G520" i="1"/>
  <c r="G518" i="1"/>
  <c r="G517" i="1"/>
  <c r="G516" i="1"/>
  <c r="G515" i="1"/>
  <c r="G513" i="1"/>
  <c r="G512" i="1"/>
  <c r="G511" i="1"/>
  <c r="G509" i="1"/>
  <c r="G508" i="1"/>
  <c r="G507" i="1"/>
  <c r="G505" i="1"/>
  <c r="G504" i="1"/>
  <c r="G501" i="1"/>
  <c r="G500" i="1" s="1"/>
  <c r="G499" i="1"/>
  <c r="G498" i="1"/>
  <c r="G497" i="1"/>
  <c r="G495" i="1"/>
  <c r="G494" i="1"/>
  <c r="G491" i="1"/>
  <c r="G490" i="1"/>
  <c r="G488" i="1"/>
  <c r="G487" i="1" s="1"/>
  <c r="G486" i="1"/>
  <c r="G485" i="1"/>
  <c r="G484" i="1"/>
  <c r="G482" i="1"/>
  <c r="G481" i="1"/>
  <c r="G480" i="1"/>
  <c r="G479" i="1"/>
  <c r="G477" i="1"/>
  <c r="G476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1" i="1"/>
  <c r="G460" i="1"/>
  <c r="G459" i="1"/>
  <c r="G457" i="1"/>
  <c r="G456" i="1"/>
  <c r="G455" i="1"/>
  <c r="G453" i="1"/>
  <c r="G452" i="1"/>
  <c r="G451" i="1"/>
  <c r="G449" i="1"/>
  <c r="G448" i="1"/>
  <c r="G447" i="1"/>
  <c r="G445" i="1"/>
  <c r="G444" i="1"/>
  <c r="G442" i="1"/>
  <c r="G441" i="1"/>
  <c r="G438" i="1"/>
  <c r="G437" i="1"/>
  <c r="G436" i="1"/>
  <c r="G435" i="1"/>
  <c r="G434" i="1"/>
  <c r="G433" i="1"/>
  <c r="G431" i="1"/>
  <c r="G430" i="1"/>
  <c r="G429" i="1"/>
  <c r="G428" i="1"/>
  <c r="G426" i="1"/>
  <c r="G425" i="1"/>
  <c r="G422" i="1"/>
  <c r="G421" i="1"/>
  <c r="G420" i="1"/>
  <c r="G419" i="1"/>
  <c r="G417" i="1"/>
  <c r="G416" i="1"/>
  <c r="G415" i="1"/>
  <c r="G413" i="1"/>
  <c r="G412" i="1" s="1"/>
  <c r="G411" i="1"/>
  <c r="G410" i="1"/>
  <c r="G409" i="1"/>
  <c r="G408" i="1"/>
  <c r="G407" i="1"/>
  <c r="G406" i="1"/>
  <c r="G404" i="1"/>
  <c r="G403" i="1" s="1"/>
  <c r="G402" i="1"/>
  <c r="G401" i="1"/>
  <c r="G400" i="1"/>
  <c r="G399" i="1"/>
  <c r="G398" i="1"/>
  <c r="G397" i="1"/>
  <c r="G396" i="1"/>
  <c r="G395" i="1"/>
  <c r="G394" i="1"/>
  <c r="G393" i="1"/>
  <c r="G392" i="1"/>
  <c r="G390" i="1"/>
  <c r="G389" i="1"/>
  <c r="G388" i="1"/>
  <c r="G386" i="1"/>
  <c r="G385" i="1"/>
  <c r="G384" i="1"/>
  <c r="G382" i="1"/>
  <c r="G381" i="1"/>
  <c r="G380" i="1"/>
  <c r="G378" i="1"/>
  <c r="G377" i="1"/>
  <c r="G376" i="1"/>
  <c r="G374" i="1"/>
  <c r="G373" i="1"/>
  <c r="G371" i="1"/>
  <c r="G370" i="1"/>
  <c r="G369" i="1"/>
  <c r="G366" i="1"/>
  <c r="G365" i="1"/>
  <c r="G363" i="1"/>
  <c r="G362" i="1"/>
  <c r="G361" i="1"/>
  <c r="G360" i="1"/>
  <c r="G359" i="1"/>
  <c r="G357" i="1"/>
  <c r="G356" i="1"/>
  <c r="G355" i="1"/>
  <c r="G354" i="1"/>
  <c r="G350" i="1"/>
  <c r="G349" i="1" s="1"/>
  <c r="G348" i="1"/>
  <c r="G347" i="1"/>
  <c r="G346" i="1"/>
  <c r="G345" i="1"/>
  <c r="G343" i="1"/>
  <c r="G342" i="1"/>
  <c r="G339" i="1"/>
  <c r="G338" i="1"/>
  <c r="G337" i="1"/>
  <c r="G335" i="1"/>
  <c r="G334" i="1"/>
  <c r="G332" i="1"/>
  <c r="G331" i="1" s="1"/>
  <c r="G330" i="1"/>
  <c r="G329" i="1" s="1"/>
  <c r="G328" i="1"/>
  <c r="G327" i="1"/>
  <c r="G326" i="1"/>
  <c r="G324" i="1"/>
  <c r="G323" i="1"/>
  <c r="G322" i="1"/>
  <c r="G320" i="1"/>
  <c r="G319" i="1"/>
  <c r="G318" i="1"/>
  <c r="G315" i="1"/>
  <c r="G314" i="1"/>
  <c r="G313" i="1"/>
  <c r="G311" i="1"/>
  <c r="G310" i="1"/>
  <c r="G309" i="1"/>
  <c r="G308" i="1"/>
  <c r="G306" i="1"/>
  <c r="G305" i="1"/>
  <c r="G302" i="1"/>
  <c r="G301" i="1"/>
  <c r="G300" i="1"/>
  <c r="G299" i="1"/>
  <c r="G297" i="1"/>
  <c r="G296" i="1" s="1"/>
  <c r="G295" i="1"/>
  <c r="G294" i="1"/>
  <c r="G293" i="1"/>
  <c r="G290" i="1"/>
  <c r="G289" i="1" s="1"/>
  <c r="G288" i="1"/>
  <c r="G287" i="1"/>
  <c r="G286" i="1"/>
  <c r="G284" i="1"/>
  <c r="G283" i="1"/>
  <c r="G280" i="1"/>
  <c r="G279" i="1"/>
  <c r="G278" i="1"/>
  <c r="G277" i="1"/>
  <c r="G275" i="1"/>
  <c r="G274" i="1"/>
  <c r="G273" i="1"/>
  <c r="G272" i="1"/>
  <c r="G270" i="1"/>
  <c r="G269" i="1"/>
  <c r="G268" i="1"/>
  <c r="G266" i="1"/>
  <c r="G265" i="1"/>
  <c r="G264" i="1"/>
  <c r="G262" i="1"/>
  <c r="G261" i="1"/>
  <c r="G258" i="1"/>
  <c r="G257" i="1" s="1"/>
  <c r="G256" i="1"/>
  <c r="G255" i="1"/>
  <c r="G254" i="1"/>
  <c r="G252" i="1"/>
  <c r="G251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09" i="1"/>
  <c r="G208" i="1"/>
  <c r="G206" i="1"/>
  <c r="G205" i="1" s="1"/>
  <c r="G204" i="1"/>
  <c r="G203" i="1"/>
  <c r="G202" i="1"/>
  <c r="G200" i="1"/>
  <c r="G199" i="1"/>
  <c r="G197" i="1"/>
  <c r="G196" i="1"/>
  <c r="G195" i="1"/>
  <c r="G193" i="1"/>
  <c r="G192" i="1"/>
  <c r="G191" i="1"/>
  <c r="G190" i="1"/>
  <c r="G189" i="1"/>
  <c r="G188" i="1"/>
  <c r="G187" i="1"/>
  <c r="G185" i="1"/>
  <c r="G184" i="1" s="1"/>
  <c r="G183" i="1"/>
  <c r="G182" i="1"/>
  <c r="G181" i="1"/>
  <c r="G179" i="1"/>
  <c r="G178" i="1"/>
  <c r="G177" i="1"/>
  <c r="G175" i="1"/>
  <c r="G174" i="1"/>
  <c r="G173" i="1"/>
  <c r="G171" i="1"/>
  <c r="G170" i="1"/>
  <c r="G167" i="1"/>
  <c r="G166" i="1"/>
  <c r="G165" i="1"/>
  <c r="G164" i="1"/>
  <c r="G162" i="1"/>
  <c r="G161" i="1"/>
  <c r="G160" i="1"/>
  <c r="G159" i="1"/>
  <c r="G157" i="1"/>
  <c r="G156" i="1"/>
  <c r="G153" i="1"/>
  <c r="G152" i="1"/>
  <c r="G150" i="1"/>
  <c r="G149" i="1" s="1"/>
  <c r="G148" i="1"/>
  <c r="G147" i="1"/>
  <c r="G146" i="1"/>
  <c r="G144" i="1"/>
  <c r="G143" i="1"/>
  <c r="G142" i="1"/>
  <c r="G141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2" i="1"/>
  <c r="G121" i="1"/>
  <c r="G119" i="1"/>
  <c r="G118" i="1"/>
  <c r="G117" i="1"/>
  <c r="G115" i="1"/>
  <c r="G114" i="1"/>
  <c r="G113" i="1"/>
  <c r="G111" i="1"/>
  <c r="G110" i="1"/>
  <c r="G109" i="1"/>
  <c r="G107" i="1"/>
  <c r="G106" i="1"/>
  <c r="G104" i="1"/>
  <c r="G103" i="1"/>
  <c r="G100" i="1"/>
  <c r="G99" i="1"/>
  <c r="G98" i="1"/>
  <c r="G97" i="1"/>
  <c r="G96" i="1"/>
  <c r="G95" i="1"/>
  <c r="G93" i="1"/>
  <c r="G92" i="1"/>
  <c r="G91" i="1"/>
  <c r="G90" i="1"/>
  <c r="G88" i="1"/>
  <c r="G87" i="1"/>
  <c r="G84" i="1"/>
  <c r="G83" i="1"/>
  <c r="G82" i="1"/>
  <c r="G81" i="1"/>
  <c r="G79" i="1"/>
  <c r="G78" i="1"/>
  <c r="G77" i="1"/>
  <c r="G75" i="1"/>
  <c r="G74" i="1" s="1"/>
  <c r="G73" i="1"/>
  <c r="G72" i="1"/>
  <c r="G71" i="1"/>
  <c r="G70" i="1"/>
  <c r="G69" i="1"/>
  <c r="G67" i="1"/>
  <c r="G66" i="1" s="1"/>
  <c r="G65" i="1"/>
  <c r="G64" i="1"/>
  <c r="G63" i="1"/>
  <c r="G62" i="1"/>
  <c r="G61" i="1"/>
  <c r="G60" i="1"/>
  <c r="G59" i="1"/>
  <c r="G58" i="1"/>
  <c r="G57" i="1"/>
  <c r="G56" i="1"/>
  <c r="G55" i="1"/>
  <c r="G53" i="1"/>
  <c r="G52" i="1"/>
  <c r="G51" i="1"/>
  <c r="G49" i="1"/>
  <c r="G48" i="1"/>
  <c r="G47" i="1"/>
  <c r="G45" i="1"/>
  <c r="G44" i="1"/>
  <c r="G43" i="1"/>
  <c r="G41" i="1"/>
  <c r="G40" i="1"/>
  <c r="G39" i="1"/>
  <c r="G37" i="1"/>
  <c r="G36" i="1"/>
  <c r="G34" i="1"/>
  <c r="G33" i="1"/>
  <c r="G32" i="1"/>
  <c r="G29" i="1"/>
  <c r="G28" i="1"/>
  <c r="G26" i="1"/>
  <c r="G25" i="1"/>
  <c r="G24" i="1"/>
  <c r="G23" i="1"/>
  <c r="G22" i="1"/>
  <c r="G20" i="1"/>
  <c r="G19" i="1"/>
  <c r="G18" i="1"/>
  <c r="G17" i="1"/>
  <c r="G13" i="1"/>
  <c r="G12" i="1"/>
  <c r="G11" i="1"/>
  <c r="G10" i="1"/>
  <c r="B11" i="8"/>
  <c r="B12" i="8" s="1"/>
  <c r="B13" i="8" s="1"/>
  <c r="B14" i="8" s="1"/>
  <c r="B15" i="8" s="1"/>
  <c r="P7" i="3" l="1"/>
  <c r="P9" i="3" s="1"/>
  <c r="Q9" i="3" s="1"/>
  <c r="R9" i="3" s="1"/>
  <c r="K16" i="5"/>
  <c r="AB13" i="3"/>
  <c r="K50" i="4"/>
  <c r="G26" i="3"/>
  <c r="E12" i="8" s="1"/>
  <c r="G50" i="4"/>
  <c r="E13" i="8" s="1"/>
  <c r="G16" i="5"/>
  <c r="E14" i="8" s="1"/>
  <c r="AB14" i="3"/>
  <c r="H96" i="9"/>
  <c r="I96" i="9" s="1"/>
  <c r="L96" i="9" s="1"/>
  <c r="G2472" i="1"/>
  <c r="G2511" i="1"/>
  <c r="G2469" i="1"/>
  <c r="G2577" i="1"/>
  <c r="G2557" i="1"/>
  <c r="G2553" i="1"/>
  <c r="G2645" i="1"/>
  <c r="G2533" i="1"/>
  <c r="G2618" i="1"/>
  <c r="G2455" i="1"/>
  <c r="G2483" i="1"/>
  <c r="G2490" i="1"/>
  <c r="G2216" i="1"/>
  <c r="G1812" i="1"/>
  <c r="G1872" i="1"/>
  <c r="G538" i="1"/>
  <c r="G1267" i="1"/>
  <c r="G105" i="1"/>
  <c r="J12" i="6"/>
  <c r="G11" i="6"/>
  <c r="E15" i="8" s="1"/>
  <c r="G1850" i="1"/>
  <c r="G2287" i="1"/>
  <c r="G46" i="1"/>
  <c r="G493" i="1"/>
  <c r="G38" i="1"/>
  <c r="G525" i="1"/>
  <c r="G1853" i="1"/>
  <c r="G1974" i="1"/>
  <c r="G2318" i="1"/>
  <c r="G2437" i="1"/>
  <c r="G440" i="1"/>
  <c r="G1756" i="1"/>
  <c r="G2657" i="1"/>
  <c r="G940" i="1"/>
  <c r="G2089" i="1"/>
  <c r="G151" i="1"/>
  <c r="G427" i="1"/>
  <c r="G702" i="1"/>
  <c r="G1058" i="1"/>
  <c r="G1074" i="1"/>
  <c r="G1815" i="1"/>
  <c r="G2223" i="1"/>
  <c r="G1497" i="1"/>
  <c r="G1656" i="1"/>
  <c r="G1826" i="1"/>
  <c r="G2209" i="1"/>
  <c r="G2652" i="1"/>
  <c r="G2679" i="1"/>
  <c r="G2703" i="1"/>
  <c r="G2368" i="1"/>
  <c r="G2266" i="1"/>
  <c r="G2441" i="1"/>
  <c r="G2718" i="1"/>
  <c r="G2401" i="1"/>
  <c r="G2663" i="1"/>
  <c r="G1487" i="1"/>
  <c r="G1735" i="1"/>
  <c r="G1781" i="1"/>
  <c r="G1631" i="1"/>
  <c r="G1662" i="1"/>
  <c r="G2062" i="1"/>
  <c r="G2152" i="1"/>
  <c r="G1562" i="1"/>
  <c r="G1659" i="1"/>
  <c r="G681" i="1"/>
  <c r="G903" i="1"/>
  <c r="G1261" i="1"/>
  <c r="G1366" i="1"/>
  <c r="G1653" i="1"/>
  <c r="G2086" i="1"/>
  <c r="G2424" i="1"/>
  <c r="G317" i="1"/>
  <c r="G321" i="1"/>
  <c r="G2220" i="1"/>
  <c r="G2219" i="1" s="1"/>
  <c r="G2736" i="1"/>
  <c r="G418" i="1"/>
  <c r="G1273" i="1"/>
  <c r="G1490" i="1"/>
  <c r="G1590" i="1"/>
  <c r="G599" i="1"/>
  <c r="G852" i="1"/>
  <c r="G872" i="1"/>
  <c r="G878" i="1"/>
  <c r="G914" i="1"/>
  <c r="G1543" i="1"/>
  <c r="G2269" i="1"/>
  <c r="G2278" i="1"/>
  <c r="G542" i="1"/>
  <c r="G2078" i="1"/>
  <c r="G2161" i="1"/>
  <c r="G2192" i="1"/>
  <c r="G2191" i="1" s="1"/>
  <c r="G2190" i="1" s="1"/>
  <c r="G250" i="1"/>
  <c r="G533" i="1"/>
  <c r="G627" i="1"/>
  <c r="G304" i="1"/>
  <c r="G333" i="1"/>
  <c r="G489" i="1"/>
  <c r="G595" i="1"/>
  <c r="G633" i="1"/>
  <c r="G910" i="1"/>
  <c r="G1318" i="1"/>
  <c r="G1740" i="1"/>
  <c r="G1983" i="1"/>
  <c r="G2232" i="1"/>
  <c r="G2372" i="1"/>
  <c r="G2378" i="1"/>
  <c r="G27" i="1"/>
  <c r="G194" i="1"/>
  <c r="G253" i="1"/>
  <c r="G260" i="1"/>
  <c r="G383" i="1"/>
  <c r="G519" i="1"/>
  <c r="G1041" i="1"/>
  <c r="G1045" i="1"/>
  <c r="G1547" i="1"/>
  <c r="G1587" i="1"/>
  <c r="G1763" i="1"/>
  <c r="G2255" i="1"/>
  <c r="G2683" i="1"/>
  <c r="G2698" i="1"/>
  <c r="G31" i="1"/>
  <c r="G145" i="1"/>
  <c r="G198" i="1"/>
  <c r="G424" i="1"/>
  <c r="G478" i="1"/>
  <c r="G1503" i="1"/>
  <c r="G1575" i="1"/>
  <c r="G2114" i="1"/>
  <c r="G2252" i="1"/>
  <c r="G2571" i="1"/>
  <c r="G2723" i="1"/>
  <c r="G42" i="1"/>
  <c r="G458" i="1"/>
  <c r="G838" i="1"/>
  <c r="G881" i="1"/>
  <c r="G885" i="1"/>
  <c r="G1325" i="1"/>
  <c r="G1324" i="1" s="1"/>
  <c r="G1668" i="1"/>
  <c r="G1671" i="1"/>
  <c r="G2227" i="1"/>
  <c r="G2529" i="1"/>
  <c r="G16" i="1"/>
  <c r="G1728" i="1"/>
  <c r="G1766" i="1"/>
  <c r="G2074" i="1"/>
  <c r="G2236" i="1"/>
  <c r="G2235" i="1" s="1"/>
  <c r="G546" i="1"/>
  <c r="G554" i="1"/>
  <c r="G727" i="1"/>
  <c r="G730" i="1"/>
  <c r="G1539" i="1"/>
  <c r="G2081" i="1"/>
  <c r="G2155" i="1"/>
  <c r="G2693" i="1"/>
  <c r="G169" i="1"/>
  <c r="G325" i="1"/>
  <c r="G336" i="1"/>
  <c r="G503" i="1"/>
  <c r="G1277" i="1"/>
  <c r="G1450" i="1"/>
  <c r="G1752" i="1"/>
  <c r="G2001" i="1"/>
  <c r="G2010" i="1"/>
  <c r="G2046" i="1"/>
  <c r="G2137" i="1"/>
  <c r="G2666" i="1"/>
  <c r="G2675" i="1"/>
  <c r="G80" i="1"/>
  <c r="G292" i="1"/>
  <c r="G291" i="1" s="1"/>
  <c r="G298" i="1"/>
  <c r="G364" i="1"/>
  <c r="G591" i="1"/>
  <c r="G713" i="1"/>
  <c r="G1070" i="1"/>
  <c r="G1120" i="1"/>
  <c r="G1174" i="1"/>
  <c r="G1285" i="1"/>
  <c r="G176" i="1"/>
  <c r="G645" i="1"/>
  <c r="G671" i="1"/>
  <c r="G1033" i="1"/>
  <c r="G1171" i="1"/>
  <c r="G180" i="1"/>
  <c r="G267" i="1"/>
  <c r="G454" i="1"/>
  <c r="G603" i="1"/>
  <c r="G623" i="1"/>
  <c r="G734" i="1"/>
  <c r="G752" i="1"/>
  <c r="G755" i="1"/>
  <c r="G1000" i="1"/>
  <c r="G1003" i="1"/>
  <c r="G86" i="1"/>
  <c r="G271" i="1"/>
  <c r="G496" i="1"/>
  <c r="G738" i="1"/>
  <c r="G906" i="1"/>
  <c r="G981" i="1"/>
  <c r="G1061" i="1"/>
  <c r="G1077" i="1"/>
  <c r="G1091" i="1"/>
  <c r="G1145" i="1"/>
  <c r="G1314" i="1"/>
  <c r="G21" i="1"/>
  <c r="G76" i="1"/>
  <c r="G35" i="1"/>
  <c r="G108" i="1"/>
  <c r="G116" i="1"/>
  <c r="G137" i="1"/>
  <c r="G140" i="1"/>
  <c r="G163" i="1"/>
  <c r="G475" i="1"/>
  <c r="G514" i="1"/>
  <c r="G587" i="1"/>
  <c r="G758" i="1"/>
  <c r="G834" i="1"/>
  <c r="G931" i="1"/>
  <c r="G1023" i="1"/>
  <c r="G1106" i="1"/>
  <c r="G1212" i="1"/>
  <c r="G358" i="1"/>
  <c r="G565" i="1"/>
  <c r="G580" i="1"/>
  <c r="G973" i="1"/>
  <c r="G1010" i="1"/>
  <c r="G1109" i="1"/>
  <c r="G1157" i="1"/>
  <c r="G1200" i="1"/>
  <c r="G207" i="1"/>
  <c r="G263" i="1"/>
  <c r="G341" i="1"/>
  <c r="G368" i="1"/>
  <c r="G375" i="1"/>
  <c r="G414" i="1"/>
  <c r="G528" i="1"/>
  <c r="G684" i="1"/>
  <c r="G707" i="1"/>
  <c r="G889" i="1"/>
  <c r="G935" i="1"/>
  <c r="G1029" i="1"/>
  <c r="G1064" i="1"/>
  <c r="G1165" i="1"/>
  <c r="G1182" i="1"/>
  <c r="G1335" i="1"/>
  <c r="G1396" i="1"/>
  <c r="G1399" i="1"/>
  <c r="G1471" i="1"/>
  <c r="G1622" i="1"/>
  <c r="G1788" i="1"/>
  <c r="G2035" i="1"/>
  <c r="G2242" i="1"/>
  <c r="G2241" i="1" s="1"/>
  <c r="G155" i="1"/>
  <c r="G158" i="1"/>
  <c r="G372" i="1"/>
  <c r="G432" i="1"/>
  <c r="G830" i="1"/>
  <c r="G864" i="1"/>
  <c r="G924" i="1"/>
  <c r="G927" i="1"/>
  <c r="G1114" i="1"/>
  <c r="G1148" i="1"/>
  <c r="G1253" i="1"/>
  <c r="G1256" i="1"/>
  <c r="G1568" i="1"/>
  <c r="G1771" i="1"/>
  <c r="G1798" i="1"/>
  <c r="G2409" i="1"/>
  <c r="G50" i="1"/>
  <c r="G94" i="1"/>
  <c r="G443" i="1"/>
  <c r="G483" i="1"/>
  <c r="G574" i="1"/>
  <c r="G691" i="1"/>
  <c r="G716" i="1"/>
  <c r="G945" i="1"/>
  <c r="G1037" i="1"/>
  <c r="G1209" i="1"/>
  <c r="G1270" i="1"/>
  <c r="G1302" i="1"/>
  <c r="G1308" i="1"/>
  <c r="G1432" i="1"/>
  <c r="G1511" i="1"/>
  <c r="G1675" i="1"/>
  <c r="G1674" i="1" s="1"/>
  <c r="G1718" i="1"/>
  <c r="G1898" i="1"/>
  <c r="G2103" i="1"/>
  <c r="G102" i="1"/>
  <c r="G124" i="1"/>
  <c r="G276" i="1"/>
  <c r="G307" i="1"/>
  <c r="G312" i="1"/>
  <c r="G446" i="1"/>
  <c r="G641" i="1"/>
  <c r="G694" i="1"/>
  <c r="G948" i="1"/>
  <c r="G1135" i="1"/>
  <c r="G1160" i="1"/>
  <c r="G1196" i="1"/>
  <c r="G1221" i="1"/>
  <c r="G1289" i="1"/>
  <c r="G1356" i="1"/>
  <c r="G1355" i="1" s="1"/>
  <c r="G1447" i="1"/>
  <c r="G1794" i="1"/>
  <c r="G1822" i="1"/>
  <c r="G1844" i="1"/>
  <c r="G2040" i="1"/>
  <c r="G2126" i="1"/>
  <c r="G9" i="1"/>
  <c r="G89" i="1"/>
  <c r="G112" i="1"/>
  <c r="G172" i="1"/>
  <c r="G201" i="1"/>
  <c r="G450" i="1"/>
  <c r="G1015" i="1"/>
  <c r="G1370" i="1"/>
  <c r="G1466" i="1"/>
  <c r="G1506" i="1"/>
  <c r="G1691" i="1"/>
  <c r="G1807" i="1"/>
  <c r="G1989" i="1"/>
  <c r="G2017" i="1"/>
  <c r="G2056" i="1"/>
  <c r="G2065" i="1"/>
  <c r="G2345" i="1"/>
  <c r="G2391" i="1"/>
  <c r="G2404" i="1"/>
  <c r="G506" i="1"/>
  <c r="G510" i="1"/>
  <c r="G557" i="1"/>
  <c r="G766" i="1"/>
  <c r="G842" i="1"/>
  <c r="G956" i="1"/>
  <c r="G959" i="1"/>
  <c r="G969" i="1"/>
  <c r="G984" i="1"/>
  <c r="G988" i="1"/>
  <c r="G992" i="1"/>
  <c r="G1127" i="1"/>
  <c r="G1131" i="1"/>
  <c r="G1188" i="1"/>
  <c r="G1458" i="1"/>
  <c r="G1515" i="1"/>
  <c r="G1519" i="1"/>
  <c r="G1597" i="1"/>
  <c r="G1634" i="1"/>
  <c r="G1878" i="1"/>
  <c r="G1922" i="1"/>
  <c r="G2022" i="1"/>
  <c r="G2107" i="1"/>
  <c r="G2122" i="1"/>
  <c r="G2130" i="1"/>
  <c r="G2290" i="1"/>
  <c r="G2323" i="1"/>
  <c r="G2641" i="1"/>
  <c r="G120" i="1"/>
  <c r="G344" i="1"/>
  <c r="G462" i="1"/>
  <c r="G562" i="1"/>
  <c r="G698" i="1"/>
  <c r="G821" i="1"/>
  <c r="G827" i="1"/>
  <c r="G893" i="1"/>
  <c r="G917" i="1"/>
  <c r="G1026" i="1"/>
  <c r="G1100" i="1"/>
  <c r="G1123" i="1"/>
  <c r="G1178" i="1"/>
  <c r="G1203" i="1"/>
  <c r="G1403" i="1"/>
  <c r="G1402" i="1" s="1"/>
  <c r="G1532" i="1"/>
  <c r="G1665" i="1"/>
  <c r="G1911" i="1"/>
  <c r="G2070" i="1"/>
  <c r="G2183" i="1"/>
  <c r="G2297" i="1"/>
  <c r="G2331" i="1"/>
  <c r="G2523" i="1"/>
  <c r="G2636" i="1"/>
  <c r="G210" i="1"/>
  <c r="G68" i="1"/>
  <c r="G219" i="1"/>
  <c r="G54" i="1"/>
  <c r="G186" i="1"/>
  <c r="G285" i="1"/>
  <c r="G387" i="1"/>
  <c r="G282" i="1"/>
  <c r="G405" i="1"/>
  <c r="G391" i="1"/>
  <c r="G353" i="1"/>
  <c r="G379" i="1"/>
  <c r="G649" i="1"/>
  <c r="G637" i="1"/>
  <c r="G721" i="1"/>
  <c r="G664" i="1"/>
  <c r="G619" i="1"/>
  <c r="G816" i="1"/>
  <c r="G855" i="1"/>
  <c r="G867" i="1"/>
  <c r="G813" i="1"/>
  <c r="G744" i="1"/>
  <c r="G774" i="1"/>
  <c r="G1095" i="1"/>
  <c r="G1087" i="1"/>
  <c r="G1084" i="1"/>
  <c r="G1341" i="1"/>
  <c r="G1421" i="1"/>
  <c r="G1410" i="1"/>
  <c r="G1281" i="1"/>
  <c r="G1305" i="1"/>
  <c r="G1350" i="1"/>
  <c r="G1526" i="1"/>
  <c r="G1701" i="1"/>
  <c r="G1682" i="1"/>
  <c r="G1759" i="1"/>
  <c r="G1832" i="1"/>
  <c r="G1802" i="1"/>
  <c r="G1939" i="1"/>
  <c r="G1948" i="1"/>
  <c r="G1861" i="1"/>
  <c r="G1970" i="1"/>
  <c r="G1951" i="1"/>
  <c r="G2097" i="1"/>
  <c r="G2096" i="1" s="1"/>
  <c r="G2197" i="1"/>
  <c r="G2247" i="1"/>
  <c r="G2384" i="1"/>
  <c r="G2358" i="1"/>
  <c r="G2450" i="1"/>
  <c r="G2352" i="1"/>
  <c r="G2418" i="1"/>
  <c r="G2427" i="1"/>
  <c r="G2387" i="1"/>
  <c r="G2478" i="1"/>
  <c r="G2477" i="1" s="1"/>
  <c r="G2563" i="1"/>
  <c r="G2728" i="1"/>
  <c r="G2707" i="1"/>
  <c r="G1860" i="1" l="1"/>
  <c r="G2408" i="1"/>
  <c r="G2489" i="1"/>
  <c r="G2449" i="1" s="1"/>
  <c r="G2367" i="1"/>
  <c r="G2357" i="1" s="1"/>
  <c r="G2662" i="1"/>
  <c r="G2640" i="1" s="1"/>
  <c r="G2226" i="1"/>
  <c r="G2206" i="1" s="1"/>
  <c r="G2344" i="1"/>
  <c r="G2328" i="1" s="1"/>
  <c r="G2697" i="1"/>
  <c r="G2317" i="1"/>
  <c r="G2294" i="1" s="1"/>
  <c r="G2286" i="1"/>
  <c r="G2277" i="1" s="1"/>
  <c r="G2674" i="1"/>
  <c r="G537" i="1"/>
  <c r="G524" i="1" s="1"/>
  <c r="G2102" i="1"/>
  <c r="G2722" i="1"/>
  <c r="G1574" i="1"/>
  <c r="G1502" i="1"/>
  <c r="G1843" i="1"/>
  <c r="G1119" i="1"/>
  <c r="G1105" i="1" s="1"/>
  <c r="G1332" i="1"/>
  <c r="G1317" i="1" s="1"/>
  <c r="G2265" i="1"/>
  <c r="G2251" i="1" s="1"/>
  <c r="G2400" i="1"/>
  <c r="G2390" i="1" s="1"/>
  <c r="G1630" i="1"/>
  <c r="G1785" i="1"/>
  <c r="G1751" i="1" s="1"/>
  <c r="G1821" i="1"/>
  <c r="G1897" i="1"/>
  <c r="G168" i="1"/>
  <c r="G154" i="1" s="1"/>
  <c r="G632" i="1"/>
  <c r="G626" i="1" s="1"/>
  <c r="G877" i="1"/>
  <c r="G863" i="1" s="1"/>
  <c r="G826" i="1"/>
  <c r="G812" i="1" s="1"/>
  <c r="G281" i="1"/>
  <c r="G259" i="1"/>
  <c r="G249" i="1" s="1"/>
  <c r="G1482" i="1"/>
  <c r="G1266" i="1"/>
  <c r="G1252" i="1" s="1"/>
  <c r="G1251" i="1" s="1"/>
  <c r="G586" i="1"/>
  <c r="G573" i="1" s="1"/>
  <c r="G367" i="1"/>
  <c r="G352" i="1" s="1"/>
  <c r="G2436" i="1"/>
  <c r="G2423" i="1" s="1"/>
  <c r="G561" i="1"/>
  <c r="G30" i="1"/>
  <c r="G15" i="1" s="1"/>
  <c r="G2061" i="1"/>
  <c r="G2032" i="1"/>
  <c r="G2562" i="1"/>
  <c r="G2528" i="1" s="1"/>
  <c r="G316" i="1"/>
  <c r="G303" i="1" s="1"/>
  <c r="G439" i="1"/>
  <c r="G1538" i="1"/>
  <c r="G1537" i="1" s="1"/>
  <c r="G726" i="1"/>
  <c r="G712" i="1" s="1"/>
  <c r="G2136" i="1"/>
  <c r="G2121" i="1"/>
  <c r="G502" i="1"/>
  <c r="G492" i="1" s="1"/>
  <c r="G980" i="1"/>
  <c r="G968" i="1" s="1"/>
  <c r="G1170" i="1"/>
  <c r="G1156" i="1" s="1"/>
  <c r="G955" i="1"/>
  <c r="G944" i="1" s="1"/>
  <c r="G101" i="1"/>
  <c r="G85" i="1" s="1"/>
  <c r="G1022" i="1"/>
  <c r="G1009" i="1" s="1"/>
  <c r="G340" i="1"/>
  <c r="G923" i="1"/>
  <c r="G913" i="1" s="1"/>
  <c r="G1365" i="1"/>
  <c r="G690" i="1"/>
  <c r="G680" i="1" s="1"/>
  <c r="G1947" i="1"/>
  <c r="G1083" i="1"/>
  <c r="G1073" i="1" s="1"/>
  <c r="G2383" i="1"/>
  <c r="G2377" i="1" s="1"/>
  <c r="G1859" i="1" l="1"/>
  <c r="G2448" i="1"/>
  <c r="G2673" i="1"/>
  <c r="G2095" i="1"/>
  <c r="G2031" i="1" s="1"/>
  <c r="G1973" i="1" s="1"/>
  <c r="G1946" i="1" s="1"/>
  <c r="G1481" i="1"/>
  <c r="G1409" i="1" s="1"/>
  <c r="G1364" i="1" s="1"/>
  <c r="G1820" i="1"/>
  <c r="G1750" i="1" s="1"/>
  <c r="G1681" i="1" s="1"/>
  <c r="G2205" i="1"/>
  <c r="G423" i="1"/>
  <c r="G351" i="1" s="1"/>
  <c r="G14" i="1"/>
  <c r="G572" i="1"/>
  <c r="G967" i="1"/>
  <c r="G2196" i="1" l="1"/>
  <c r="G1629" i="1"/>
  <c r="G1363" i="1" s="1"/>
  <c r="G8" i="1"/>
  <c r="G2740" i="1" l="1"/>
  <c r="G2746" i="1" l="1"/>
  <c r="E10" i="8"/>
  <c r="E17" i="8" s="1"/>
  <c r="E19" i="8" s="1"/>
  <c r="G2749" i="1" l="1"/>
  <c r="G2747" i="1"/>
  <c r="G2748" i="1"/>
  <c r="E21" i="8"/>
  <c r="E23" i="8" s="1"/>
  <c r="E25" i="8" s="1"/>
  <c r="E27" i="8" s="1"/>
  <c r="J27" i="8" s="1"/>
  <c r="G2750" i="1" l="1"/>
  <c r="G2751" i="1" l="1"/>
  <c r="G2752" i="1" s="1"/>
  <c r="G2754" i="1"/>
  <c r="G2756" i="1" l="1"/>
  <c r="F2756" i="1" s="1"/>
  <c r="G2755" i="1"/>
  <c r="AI91" i="9"/>
  <c r="AI92" i="9" s="1"/>
  <c r="AJ92" i="9" s="1"/>
  <c r="AL92" i="9" s="1"/>
  <c r="F16" i="18"/>
  <c r="AJ91" i="9" l="1"/>
  <c r="AL91" i="9" s="1"/>
  <c r="AI93" i="9"/>
  <c r="AJ93" i="9" s="1"/>
  <c r="AI94" i="9"/>
  <c r="AJ94" i="9" s="1"/>
  <c r="AL94" i="9" s="1"/>
  <c r="AK90" i="9"/>
  <c r="AK96" i="9" s="1"/>
  <c r="AK97" i="9" s="1"/>
</calcChain>
</file>

<file path=xl/sharedStrings.xml><?xml version="1.0" encoding="utf-8"?>
<sst xmlns="http://schemas.openxmlformats.org/spreadsheetml/2006/main" count="8719" uniqueCount="4419">
  <si>
    <t>RESUMEN OFERTA</t>
  </si>
  <si>
    <t>PROYECTO:</t>
  </si>
  <si>
    <t>AMPLIACIÓN Y MEJORAMIENTO DEL SERVICIO DE AGUA POTABLE – MARGEN DERECHA DEL RÍO HUATANAY, DISTRITO SANTIAGO, PROVINCIA Y DEPARTAMENTO DEL CUSCO</t>
  </si>
  <si>
    <t>K DIRECTOS</t>
  </si>
  <si>
    <t>K HES</t>
  </si>
  <si>
    <t>ITEM</t>
  </si>
  <si>
    <t>SISTEMA</t>
  </si>
  <si>
    <t>DESCRIPCIÓN</t>
  </si>
  <si>
    <t>MONTO</t>
  </si>
  <si>
    <t>PRECIOS UNITARIOS</t>
  </si>
  <si>
    <t>CANTIDADES DE OBRA</t>
  </si>
  <si>
    <t>DIRECTO</t>
  </si>
  <si>
    <t>SUMA ALZADA</t>
  </si>
  <si>
    <t>PLAN DE MONITOREO ARQUEOLÓGICO</t>
  </si>
  <si>
    <t>INTERVENCIÓN SOCIAL</t>
  </si>
  <si>
    <t>PLAN DE GESTIÓN AMBIENTAL</t>
  </si>
  <si>
    <t>HES</t>
  </si>
  <si>
    <t>PLAN DE SEGURIDAD Y SALUD OCUPACIONAL</t>
  </si>
  <si>
    <t>PLAN DE GESTION Y MANEJO DE TRANSITO</t>
  </si>
  <si>
    <t>TOTAL DIRECTO</t>
  </si>
  <si>
    <t>INDIRECTOS</t>
  </si>
  <si>
    <t>UTILIDAD</t>
  </si>
  <si>
    <t>TOTAL PRESUPUESTO</t>
  </si>
  <si>
    <t>IGV</t>
  </si>
  <si>
    <t>OFERTA</t>
  </si>
  <si>
    <t>DELTA</t>
  </si>
  <si>
    <t>TOTAL</t>
  </si>
  <si>
    <t>PATRICIO RICAURTE</t>
  </si>
  <si>
    <t>Representante Legal</t>
  </si>
  <si>
    <t>CONSORCIO RIO HUATANAY</t>
  </si>
  <si>
    <t>Lista de Cantidades</t>
  </si>
  <si>
    <t xml:space="preserve">PRESUPUESTO OFERTA VS META </t>
  </si>
  <si>
    <t>Plazo: 540 días</t>
  </si>
  <si>
    <t>N°</t>
  </si>
  <si>
    <t>Descripcion</t>
  </si>
  <si>
    <t>Unidad</t>
  </si>
  <si>
    <t xml:space="preserve">Cantidad </t>
  </si>
  <si>
    <t>APU</t>
  </si>
  <si>
    <t>OFERTA S/</t>
  </si>
  <si>
    <t>OBRAS CIVILES – ESTRUCTURAS</t>
  </si>
  <si>
    <t>OBRAS PROVISONALES</t>
  </si>
  <si>
    <t>01.01.01</t>
  </si>
  <si>
    <t>Campamento provisional para la obra</t>
  </si>
  <si>
    <t>und</t>
  </si>
  <si>
    <t>01.01.02</t>
  </si>
  <si>
    <t>Movilización de campamentos,maquinarias, herramientas para la obra</t>
  </si>
  <si>
    <t>01.01.03</t>
  </si>
  <si>
    <t>Cartel de identificación de la obra de   3,60 m x 2,40 m</t>
  </si>
  <si>
    <t>01.01.04</t>
  </si>
  <si>
    <t>Flete terrestre Lima-Cusco</t>
  </si>
  <si>
    <t>RESERVORIO APOYADO PROYECTADO RAP-01 (V=1000 M3)</t>
  </si>
  <si>
    <t>01.03.01</t>
  </si>
  <si>
    <t>RESERVORIO APOYADO RAP-01</t>
  </si>
  <si>
    <t>01.03.01.01</t>
  </si>
  <si>
    <t>TRABAJOS PRELIMINARES</t>
  </si>
  <si>
    <t>01.03.01.01.01</t>
  </si>
  <si>
    <t>Trazo y replanteo inicial del proyecto,  para edificación con estación total</t>
  </si>
  <si>
    <t>m2</t>
  </si>
  <si>
    <t>01.03.01.01.02</t>
  </si>
  <si>
    <t>Replanteo final de obra p/reservorio-cisterna o similar</t>
  </si>
  <si>
    <t>01.03.01.01.03</t>
  </si>
  <si>
    <t>Limpieza y acondiciomiento del terreno</t>
  </si>
  <si>
    <t>01.03.01.01.04</t>
  </si>
  <si>
    <t>Cerco opaco con manta de polipropileno ó madera h= 2,10 m para límite de obra</t>
  </si>
  <si>
    <t>m</t>
  </si>
  <si>
    <t>01.03.01.02</t>
  </si>
  <si>
    <t>MOVIMIENTO DE TIERRAS</t>
  </si>
  <si>
    <t>01.03.01.02.01</t>
  </si>
  <si>
    <t>Excavaciones-cortes en terreno rocoso con compresora (sin emplear explosivos)</t>
  </si>
  <si>
    <t>m3</t>
  </si>
  <si>
    <t>01.03.01.02.02</t>
  </si>
  <si>
    <t>Excavaciones terreno rocoso c/compresora hasta 2,00 m prof.(sin emplear explosivo)</t>
  </si>
  <si>
    <t>01.03.01.02.03</t>
  </si>
  <si>
    <t>Refine, nivelación y compactación en  terreno rocoso</t>
  </si>
  <si>
    <t>01.03.01.02.04</t>
  </si>
  <si>
    <t>Relleno compactado con material de préstamo a pulso</t>
  </si>
  <si>
    <t>01.03.01.02.05</t>
  </si>
  <si>
    <t>Eliminación de desmonte en terreno rocoso R=10 km con maquinaria</t>
  </si>
  <si>
    <t>01.03.01.03</t>
  </si>
  <si>
    <t>OBRAS DE CONCRETO SIMPLE</t>
  </si>
  <si>
    <t>01.03.01.03.01</t>
  </si>
  <si>
    <t>Concreto f'c 100 kg/cm2 para solados y/o sub bases (Cemento P-I)</t>
  </si>
  <si>
    <t>01.03.01.03.02</t>
  </si>
  <si>
    <t>Concreto f'c 100 kg/cm2 + 40% P.G. para  falsas zapatas (Cemento P-I)</t>
  </si>
  <si>
    <t>01.03.01.04</t>
  </si>
  <si>
    <t>OBRAS DE CONCRETO ARMADO</t>
  </si>
  <si>
    <t>01.03.01.04.01</t>
  </si>
  <si>
    <t>ZAPATAS</t>
  </si>
  <si>
    <t>01.03.01.04.01.01</t>
  </si>
  <si>
    <t>Concreto pre-mezclado f'c 280 kg/cm2 p/  zapatas (Cemento P-I)</t>
  </si>
  <si>
    <t>01.03.01.04.01.02</t>
  </si>
  <si>
    <t>Encofrado para zapatas (incl. habilitación de madera)</t>
  </si>
  <si>
    <t>01.03.01.04.01.03</t>
  </si>
  <si>
    <t>Acero estruc. trabajado p/zapata armada  (costo prom. incl. desperdicios)</t>
  </si>
  <si>
    <t>kg</t>
  </si>
  <si>
    <t>01.03.01.04.02</t>
  </si>
  <si>
    <t>LOSA DE FONDO</t>
  </si>
  <si>
    <t>01.03.01.04.02.01</t>
  </si>
  <si>
    <t>Concreto pre-mezclado f'c 280 kg/cm2 para losas de fondo-piso (Cemento P-I)</t>
  </si>
  <si>
    <t>01.03.01.04.02.02</t>
  </si>
  <si>
    <t>Acero estruc. trabajado p/losa de fondo- piso (costo prom. incl. desperdicios)</t>
  </si>
  <si>
    <t>01.03.01.04.03</t>
  </si>
  <si>
    <t>MUROS REFORZADOS</t>
  </si>
  <si>
    <t>01.03.01.04.03.01</t>
  </si>
  <si>
    <t>Concreto pre-mezclado f'c 280 kg/cm2 p/  muros reforzados (Cemento P-I)</t>
  </si>
  <si>
    <t>01.03.01.04.03.02</t>
  </si>
  <si>
    <t>Encofrado para muro reforzado (inc. habilitacion de madera)</t>
  </si>
  <si>
    <t>01.03.01.04.03.03</t>
  </si>
  <si>
    <t>Acero estruc. trabajado p/muro reforzado (costo prom. incl. desperdicios)</t>
  </si>
  <si>
    <t>01.03.01.04.04</t>
  </si>
  <si>
    <t>ARTESA DE REBOSE</t>
  </si>
  <si>
    <t>01.03.01.04.04.01</t>
  </si>
  <si>
    <t>Concreto pre-mezclado f'c 280 kg/cm2 p/  artesa de rebose (Cemento P-I)</t>
  </si>
  <si>
    <t>01.03.01.04.04.02</t>
  </si>
  <si>
    <t>Encofrado (incl habilitación de madera) para artesa de rebose.</t>
  </si>
  <si>
    <t>01.03.01.04.04.03</t>
  </si>
  <si>
    <t>Acero estruc. trabajado p/artesa de rebose  (costo prom. incl. desperdicios)</t>
  </si>
  <si>
    <t>01.03.01.04.05</t>
  </si>
  <si>
    <t>VIGA COLLAR</t>
  </si>
  <si>
    <t>01.03.01.04.05.01</t>
  </si>
  <si>
    <t>Concreto pre-mezclado f'c 280 kg/cm2 p/  vigas (Cemento P-I)</t>
  </si>
  <si>
    <t>01.03.01.04.05.02</t>
  </si>
  <si>
    <t>Encofrado para viga (incl. habilitación de madera)</t>
  </si>
  <si>
    <t>01.03.01.04.05.03</t>
  </si>
  <si>
    <t>Acero estruc. trabajado para vigas  (costo prom. incl. desperdicios)</t>
  </si>
  <si>
    <t>01.03.01.04.06</t>
  </si>
  <si>
    <t>CÚPULA</t>
  </si>
  <si>
    <t>01.03.01.04.06.01</t>
  </si>
  <si>
    <t>Concreto pre-mezclado f'c 280 kg/cm2 p/cúpulas esféricas (Cemento P-I)</t>
  </si>
  <si>
    <t>01.03.01.04.06.02</t>
  </si>
  <si>
    <t>Encofrado (incl. habilitación de madera) para cúpula esférica</t>
  </si>
  <si>
    <t>01.03.01.04.06.03</t>
  </si>
  <si>
    <t>Acero estruc.trabajado p/cúpula esférica (costo prom. incl. desperdicios)</t>
  </si>
  <si>
    <t>01.03.01.05</t>
  </si>
  <si>
    <t>REVOQUES, ENLUCIDOS Y MOLDURAS</t>
  </si>
  <si>
    <t>01.03.01.05.01</t>
  </si>
  <si>
    <t>Tarrajeo rayado 1era capa con impermeabilizante en losa de fondo-piso C:A 1:5 e=1,5cm (Cemento P-I)</t>
  </si>
  <si>
    <t>01.03.01.05.02</t>
  </si>
  <si>
    <t>Tarrajeo frotachado 2da capa con impermeabilizante en losa de fondo-piso C:A 1:3 e=5mm (Cemento P-I)</t>
  </si>
  <si>
    <t>01.03.01.05.03</t>
  </si>
  <si>
    <t>Tarrajeo rayado 1era capa con impermeabilizante en muro interior C:A 1:5 e=1,5cm (Cemento P-I)</t>
  </si>
  <si>
    <t>01.03.01.05.04</t>
  </si>
  <si>
    <t>Tarrajeo frotachado 2da capa con impermeabilizante en muro interior C:A 1:3 e=5mm (Cemento P-I)</t>
  </si>
  <si>
    <t>01.03.01.05.05</t>
  </si>
  <si>
    <t>Tarrajeo rayado 1era capa en muro exterior C:A 1:5 e=1,5cm (Cemento P-I)</t>
  </si>
  <si>
    <t>01.03.01.05.06</t>
  </si>
  <si>
    <t>Tarrajeo frotachado 2da capa en muro exterior C:A 1:3 e=5mm (Cemento P-I)</t>
  </si>
  <si>
    <t>01.03.01.05.07</t>
  </si>
  <si>
    <t>Tarrajeo rayado 1era capa con impermeabilizante en cúpula interior C:A 1:5 e=1,5cm (Cemento P-I)</t>
  </si>
  <si>
    <t>01.03.01.05.08</t>
  </si>
  <si>
    <t>Tarrajeo frotachado 2da capa con impermeabilizante en cúpula interior C:A 1:3 e=5mm (Cemento P-I)</t>
  </si>
  <si>
    <t>01.03.01.05.09</t>
  </si>
  <si>
    <t>Tarrajeo rayado 1era capa en cúpula exterior C:A 1:5 e=1,5cm (Cemento P-I)</t>
  </si>
  <si>
    <t>01.03.01.05.10</t>
  </si>
  <si>
    <t>Tarrajeo frotachado 2da capa en cúpula exterior C:A 1:3 e=5mm (Cemento P-I)</t>
  </si>
  <si>
    <t>01.03.01.05.11</t>
  </si>
  <si>
    <t>Curado de concreto con material sellante</t>
  </si>
  <si>
    <t>01.03.01.06</t>
  </si>
  <si>
    <t>PISOS Y VEREDAS</t>
  </si>
  <si>
    <t>01.03.01.06.01</t>
  </si>
  <si>
    <t>Vereda de concreto f'c 175 kg/cm2 e=10cm pasta 1:2 (P-I), c/empleo de mezcladora</t>
  </si>
  <si>
    <t>01.03.01.07</t>
  </si>
  <si>
    <t>CARPINTERIA METALICA</t>
  </si>
  <si>
    <t>01.03.01.07.01</t>
  </si>
  <si>
    <t>Escalera de tubo acero inox. c/parantes de 2" por peldaños 3/4"</t>
  </si>
  <si>
    <t>01.03.01.07.02</t>
  </si>
  <si>
    <t>Escalera de tubo fo. galvanizado con     parantes de 2" por peldaños de 3/4"</t>
  </si>
  <si>
    <t>01.03.01.07.03</t>
  </si>
  <si>
    <t>Marco y tapa de hierro dúctil DI=0,60 m con mecanismo de seguridad según especificación</t>
  </si>
  <si>
    <t>01.03.01.07.04</t>
  </si>
  <si>
    <t>Ventilación con tubería de acero según diseño DN 200</t>
  </si>
  <si>
    <t>01.03.01.07.05</t>
  </si>
  <si>
    <t>Soporte metálico tipo abrazadera para tubería DN 200  a  250</t>
  </si>
  <si>
    <t>01.03.01.08</t>
  </si>
  <si>
    <t>PINTURA</t>
  </si>
  <si>
    <t>01.03.01.08.01</t>
  </si>
  <si>
    <t>Pintado de muro exterior y cupula exterior con látex vinílico (vinilátex o similar)</t>
  </si>
  <si>
    <t>01.03.01.09</t>
  </si>
  <si>
    <t>PRUEBAS</t>
  </si>
  <si>
    <t>01.03.01.09.01</t>
  </si>
  <si>
    <t>Prueba hidráulica con empleo de cisterna y equipo de bombeo para el llenado y evacuación de agua</t>
  </si>
  <si>
    <t>01.03.01.09.03</t>
  </si>
  <si>
    <t>Limpieza y desinfección de reservorios   apoyados</t>
  </si>
  <si>
    <t>Prueba de calidad del concreto (prueba a la compresión)</t>
  </si>
  <si>
    <t>01.03.01.10</t>
  </si>
  <si>
    <t>VARIOS</t>
  </si>
  <si>
    <t>01.03.01.10.01</t>
  </si>
  <si>
    <t>Provisión y colocado de tecnoport  de  1"</t>
  </si>
  <si>
    <t>01.03.01.10.02</t>
  </si>
  <si>
    <t>Juntas con poliestireno expandido de 1" sellada con mortero asfáltico 1/4 en pisos y veredas</t>
  </si>
  <si>
    <t>01.03.01.10.03</t>
  </si>
  <si>
    <t>Provisión y colocado de junta water stop de P.V.C. e=15 cm ( 6")</t>
  </si>
  <si>
    <t>01.03.01.10.04</t>
  </si>
  <si>
    <t>Aditivo desmoldeador para encofrados     tipo caravista</t>
  </si>
  <si>
    <t>01.03.02</t>
  </si>
  <si>
    <t>CASETA DE VÁLVULAS</t>
  </si>
  <si>
    <t>01.03.02.01</t>
  </si>
  <si>
    <t>01.03.02.01.01</t>
  </si>
  <si>
    <t>01.03.02.01.02</t>
  </si>
  <si>
    <t>Replanteo final de la obra,p/edificación con estación total</t>
  </si>
  <si>
    <t>01.03.02.02</t>
  </si>
  <si>
    <t>01.03.02.02.01</t>
  </si>
  <si>
    <t>01.03.02.02.02</t>
  </si>
  <si>
    <t>01.03.02.02.03</t>
  </si>
  <si>
    <t>01.03.02.02.04</t>
  </si>
  <si>
    <t>01.03.02.03</t>
  </si>
  <si>
    <t>01.03.02.03.01</t>
  </si>
  <si>
    <t>01.03.02.03.02</t>
  </si>
  <si>
    <t>Concreto 140 kg/cm2 + 40% PM para cimiento corrido (Cemento P-I)</t>
  </si>
  <si>
    <t>01.03.02.03.03</t>
  </si>
  <si>
    <t>Concreto f'c 175 kg/cm2 para anclajes y/o dados (Cemento P-I)</t>
  </si>
  <si>
    <t>01.03.02.03.04</t>
  </si>
  <si>
    <t>Encofrado (incl. habilitación de madera) para anclajes y/o dados</t>
  </si>
  <si>
    <t>01.03.02.03.05</t>
  </si>
  <si>
    <t>Concreto f'c 175 kg/cm2 para gradas y/o  piso simple (Cemento P-I)</t>
  </si>
  <si>
    <t>01.03.02.03.06</t>
  </si>
  <si>
    <t>Encofrado (incl. habilitación de madera) para veredas</t>
  </si>
  <si>
    <t>01.03.02.04</t>
  </si>
  <si>
    <t>01.03.02.04.01</t>
  </si>
  <si>
    <t>01.03.02.04.01.01</t>
  </si>
  <si>
    <t>Concreto pre-mezclado f'c 210 kg/cm2 p/  zapatas (Cemento P-I)</t>
  </si>
  <si>
    <t>01.03.02.04.01.02</t>
  </si>
  <si>
    <t>01.03.02.04.02</t>
  </si>
  <si>
    <t>01.03.02.04.02.01</t>
  </si>
  <si>
    <t>Concreto pre-mezclado f'c 210 kg/cm2 p/  losas de fondo (Cemento P-I)</t>
  </si>
  <si>
    <t>01.03.02.04.02.02</t>
  </si>
  <si>
    <t>01.03.02.04.03</t>
  </si>
  <si>
    <t>COLUMNAS</t>
  </si>
  <si>
    <t>01.03.02.04.03.01</t>
  </si>
  <si>
    <t>Concreto pre-mezclado f'c 210 kg/cm2     p/columnas (Cemento P-I)</t>
  </si>
  <si>
    <t>01.03.02.04.03.02</t>
  </si>
  <si>
    <t>Encofrado (incl. habilitación de madera) para columnas</t>
  </si>
  <si>
    <t>01.03.02.04.03.03</t>
  </si>
  <si>
    <t>Acero estruc. trabajado para columnas    (costo prom. incl. desperdicios)</t>
  </si>
  <si>
    <t>01.03.02.04.04</t>
  </si>
  <si>
    <t>MURO REFORZADO</t>
  </si>
  <si>
    <t>01.03.02.04.04.01</t>
  </si>
  <si>
    <t>Concreto pre-mezclado f'c 210 kg/cm2 p/  muros reforzados (Cemento P-I)</t>
  </si>
  <si>
    <t>01.03.02.04.04.02</t>
  </si>
  <si>
    <t>01.03.02.04.04.03</t>
  </si>
  <si>
    <t>01.03.02.04.05</t>
  </si>
  <si>
    <t>VIGAS</t>
  </si>
  <si>
    <t>01.03.02.04.05.01</t>
  </si>
  <si>
    <t>Concreto pre-mezclado f'c 210 kg/cm2 p/vigas (Cemento P-I)</t>
  </si>
  <si>
    <t>01.03.02.04.05.02</t>
  </si>
  <si>
    <t>01.03.02.04.05.03</t>
  </si>
  <si>
    <t>Acero estruc. trabajado para vigas (costo prom. incl. desperdicios)</t>
  </si>
  <si>
    <t>01.03.02.04.06</t>
  </si>
  <si>
    <t>LOSAS MACIZAS</t>
  </si>
  <si>
    <t>01.03.02.04.06.01</t>
  </si>
  <si>
    <t>Concreto pre-mezclado f'c 210 kg/cm2 p/losas macizas (Cemento P-I)</t>
  </si>
  <si>
    <t>01.03.02.04.06.02</t>
  </si>
  <si>
    <t>Encofrado (incl. habilitación de madera) para losas macizas</t>
  </si>
  <si>
    <t>01.03.02.04.06.03</t>
  </si>
  <si>
    <t>Acero estruc. trabajado p/losas macizas  (costo prom. incl. desperdicios)</t>
  </si>
  <si>
    <t>01.03.02.05</t>
  </si>
  <si>
    <t>01.03.02.05.01</t>
  </si>
  <si>
    <t>Tarrajeo rayado 1era capa en muro interior C:A 1:5 e=1,5cm incl. columnas empotradas (Cemento P-I)</t>
  </si>
  <si>
    <t>01.03.02.05.02</t>
  </si>
  <si>
    <t>Tarrajeo frotachado 2da capa en muro interior C:A 1:3 e=5mm incl. columnas empotradas (Cemento P-I)</t>
  </si>
  <si>
    <t>01.03.02.05.03</t>
  </si>
  <si>
    <t>Tarrajeo rayado 1era capa en muro exterior C:A 1:5 e=1,5cm incl. columnas empotradas (Cemento P-I)</t>
  </si>
  <si>
    <t>01.03.02.05.04</t>
  </si>
  <si>
    <t>Tarrajeo frotachado 2da capa en muro exterior C:A 1:3 e=5mm incl. columnas empotradas (Cemento P-I)</t>
  </si>
  <si>
    <t>01.03.02.05.05</t>
  </si>
  <si>
    <t>Tarrajeo rayado 1era capa en cielo raso interno C:A 1:5 e=1,5cm incl. vigas empotradas (Cemento P-I)</t>
  </si>
  <si>
    <t>01.03.02.05.06</t>
  </si>
  <si>
    <t>Tarrajeo frotachado 2da capa en cielo raso interno C:A 1:3 e=5mm incl. vigas empotradas (Cemento P-I)</t>
  </si>
  <si>
    <t>01.03.02.05.07</t>
  </si>
  <si>
    <t>Tarrajeo rayado 1era capa en cielo raso externo C:A 1:5 e=1,5cm incl. vigas empotradas (Cemento P-I)</t>
  </si>
  <si>
    <t>01.03.02.05.08</t>
  </si>
  <si>
    <t>Tarrajeo frotachado 2da capa en cielo raso externo C:A 1:3 e=5mm incl. vigas empotradas (Cemento P-I)</t>
  </si>
  <si>
    <t>01.03.02.05.09</t>
  </si>
  <si>
    <t>Tarrajeo rayado 1era capa en vigas peraltadas independientes C:A 1:5 e=1,5cm (Cemento P-I)</t>
  </si>
  <si>
    <t>01.03.02.05.10</t>
  </si>
  <si>
    <t>Tarrajeo frotachado 2da capa en vigas peraltadas independientes C:A 1:3 e=5mm (Cemento P-I)</t>
  </si>
  <si>
    <t>01.03.02.05.11</t>
  </si>
  <si>
    <t>Vestidura de derrame en puerta, ventana  y vano</t>
  </si>
  <si>
    <t>01.03.02.05.12</t>
  </si>
  <si>
    <t>Curado con material sellante</t>
  </si>
  <si>
    <t>01.03.02.06</t>
  </si>
  <si>
    <t>01.03.02.06.01</t>
  </si>
  <si>
    <t>Acabado pulido de piso con mortero 1:2   x 1,5 cm de espesor</t>
  </si>
  <si>
    <t>01.03.02.06.02</t>
  </si>
  <si>
    <t>01.03.02.07</t>
  </si>
  <si>
    <t>01.03.02.07.01</t>
  </si>
  <si>
    <t>Puerta metálica tipo P-1 segun diseño y plano</t>
  </si>
  <si>
    <t>Und</t>
  </si>
  <si>
    <t>01.03.02.07.02</t>
  </si>
  <si>
    <t>Ventana en caseta segun diseño y plano</t>
  </si>
  <si>
    <t>01.03.02.07.04</t>
  </si>
  <si>
    <t>Escalera de tubo fo. galv. con parantes  de 1 1/2" por peldaños de 3/4"</t>
  </si>
  <si>
    <t>01.03.02.08</t>
  </si>
  <si>
    <t>01.03.02.08.01</t>
  </si>
  <si>
    <t>Pintado de muro interior con látex vinílico (vinilátex o similar)</t>
  </si>
  <si>
    <t>01.03.02.08.02</t>
  </si>
  <si>
    <t>Pintado de muro exterior con látex vinílico (vinilátex o similar)</t>
  </si>
  <si>
    <t>01.03.02.08.03</t>
  </si>
  <si>
    <t>Pintado de cielo raso con látex vinílico (vinilátex o similar)</t>
  </si>
  <si>
    <t>01.03.02.09</t>
  </si>
  <si>
    <t>01.03.02.09.01</t>
  </si>
  <si>
    <t>01.03.02.10</t>
  </si>
  <si>
    <t>01.03.02.10.01</t>
  </si>
  <si>
    <t>01.03.02.10.02</t>
  </si>
  <si>
    <t>01.03.03</t>
  </si>
  <si>
    <t>CASETA DE VIGILANCIA</t>
  </si>
  <si>
    <t>01.03.03.01</t>
  </si>
  <si>
    <t>01.03.03.01.01</t>
  </si>
  <si>
    <t>01.03.03.01.02</t>
  </si>
  <si>
    <t>01.03.03.02</t>
  </si>
  <si>
    <t>01.03.03.02.01</t>
  </si>
  <si>
    <t>Excavaciones terreno rocoso c/compresora hasta 1,50 m prof.(sin emplear explosivo)</t>
  </si>
  <si>
    <t>01.03.03.02.02</t>
  </si>
  <si>
    <t>01.03.03.02.03</t>
  </si>
  <si>
    <t>01.03.03.02.04</t>
  </si>
  <si>
    <t>01.03.03.03</t>
  </si>
  <si>
    <t>01.03.03.03.01</t>
  </si>
  <si>
    <t>01.03.03.03.02</t>
  </si>
  <si>
    <t>Concreto f'c 100 kg/cm2 + 30% P.G. para  cimiento corrido (Cemento P-I)</t>
  </si>
  <si>
    <t>01.03.03.03.03</t>
  </si>
  <si>
    <t>Concreto f'c 100 kg/cm2 + 25% P.M. para  sobrecimientos (Cemento P-I)</t>
  </si>
  <si>
    <t>01.03.03.03.04</t>
  </si>
  <si>
    <t>Encofrado (incl. habilitación de madera) para sobrecimientos</t>
  </si>
  <si>
    <t>01.03.03.04</t>
  </si>
  <si>
    <t>01.03.03.04.01</t>
  </si>
  <si>
    <t>01.03.03.04.01.01</t>
  </si>
  <si>
    <t>01.03.03.04.01.02</t>
  </si>
  <si>
    <t>01.03.03.04.02</t>
  </si>
  <si>
    <t>01.03.03.04.02.01</t>
  </si>
  <si>
    <t>01.03.03.04.02.02</t>
  </si>
  <si>
    <t>01.03.03.04.02.03</t>
  </si>
  <si>
    <t>01.03.03.04.03</t>
  </si>
  <si>
    <t>01.03.03.04.03.01</t>
  </si>
  <si>
    <t>Concreto pre-mezclado f'c 210 kg/cm2 p/  vigas (Cemento P-I)</t>
  </si>
  <si>
    <t>01.03.03.04.03.02</t>
  </si>
  <si>
    <t>01.03.03.04.03.03</t>
  </si>
  <si>
    <t>Acero estruc. trabajado para vigas       (costo prom. incl. desperdicios)</t>
  </si>
  <si>
    <t>01.03.03.04.04</t>
  </si>
  <si>
    <t>01.03.03.04.04.01</t>
  </si>
  <si>
    <t>Concreto pre-mezclado f'c 210 kg/cm2 p/  losas macizas (Cemento P-I)</t>
  </si>
  <si>
    <t>01.03.03.04.04.02</t>
  </si>
  <si>
    <t>01.03.03.04.04.03</t>
  </si>
  <si>
    <t>01.03.03.05</t>
  </si>
  <si>
    <t>MUROS DE ALBAÑILERIA</t>
  </si>
  <si>
    <t>01.03.03.05.01</t>
  </si>
  <si>
    <t>Muros de ladrillo king kong de arcilla   de cabeza con mortero 1:4 x 1,5 cm</t>
  </si>
  <si>
    <t>01.03.03.06</t>
  </si>
  <si>
    <t>01.03.03.06.01</t>
  </si>
  <si>
    <t>Tarrajeo frotachado en muro interior C:A 1:4 e=1.5cm incl. columnas empotradas (Cemento P-I)</t>
  </si>
  <si>
    <t>01.03.03.06.02</t>
  </si>
  <si>
    <t>Tarrajeo frotachado en muro exterior C:A 1:4 e=1.5cm incl. columnas empotradas (Cemento P-I)</t>
  </si>
  <si>
    <t>01.03.03.06.03</t>
  </si>
  <si>
    <t>Tarrajeo frotachado en cielo raso interno C:A 1:4 e=1.5cm incl. vigas empotradas (Cemento P-I)</t>
  </si>
  <si>
    <t>01.03.03.06.04</t>
  </si>
  <si>
    <t>Tarrajeo frotachado en cielo raso externo C:A 1:4 e=1.5cm incl. vigas empotradas (Cemento P-I)</t>
  </si>
  <si>
    <t>01.03.03.06.05</t>
  </si>
  <si>
    <t>Pared de Mayolica blanca 15cm x15cm. H=2.00m</t>
  </si>
  <si>
    <t>01.03.03.06.06</t>
  </si>
  <si>
    <t>01.03.03.06.07</t>
  </si>
  <si>
    <t>01.03.03.07</t>
  </si>
  <si>
    <t>01.03.03.07.01</t>
  </si>
  <si>
    <t>Contrapiso f'c 175 kg/cm2 de espesor 4" (Cemento P-I)</t>
  </si>
  <si>
    <t>01.03.03.07.02</t>
  </si>
  <si>
    <t>Revestimiento de piso de porcelanato de alto transito de 60 cm x 60 cm</t>
  </si>
  <si>
    <t>01.03.03.07.03</t>
  </si>
  <si>
    <t>01.03.03.08</t>
  </si>
  <si>
    <t>01.03.03.08.01</t>
  </si>
  <si>
    <t>Puerta metálica tipo P-2 segun diseño y plano</t>
  </si>
  <si>
    <t>01.03.03.08.02</t>
  </si>
  <si>
    <t>01.03.03.10</t>
  </si>
  <si>
    <t>01.03.03.10.01</t>
  </si>
  <si>
    <t>01.03.03.09.02</t>
  </si>
  <si>
    <t>01.03.03.09.03</t>
  </si>
  <si>
    <t>01.03.03.11</t>
  </si>
  <si>
    <t>01.03.03.11.01</t>
  </si>
  <si>
    <t>01.03.03.12</t>
  </si>
  <si>
    <t>01.03.03.12.01</t>
  </si>
  <si>
    <t>01.03.03.12.02</t>
  </si>
  <si>
    <t>Aditivo desmoldeador para encofrados tipo caravista</t>
  </si>
  <si>
    <t>01.03.03.13</t>
  </si>
  <si>
    <t>APARATOS SANITARIOS</t>
  </si>
  <si>
    <t>01.03.03.13.01</t>
  </si>
  <si>
    <t>Inodoro tanque bajo c/grifería de bronce (tornado o similar)</t>
  </si>
  <si>
    <t>01.03.03.13.02</t>
  </si>
  <si>
    <t>Lavatorio de pared con grifería cromada  20x17 cm (jamaica o similar)</t>
  </si>
  <si>
    <t>01.03.03.13.03</t>
  </si>
  <si>
    <t>Ducha cromada de una (1) llave incl. grifería</t>
  </si>
  <si>
    <t>01.03.03.13.04</t>
  </si>
  <si>
    <t>Jabonera de losa color blanco</t>
  </si>
  <si>
    <t>01.03.03.13.05</t>
  </si>
  <si>
    <t>Toallera con soportes de losa y barra plástica color blanco</t>
  </si>
  <si>
    <t>01.03.03.13.06</t>
  </si>
  <si>
    <t>Papelera de losa y barra plástica color  blanco</t>
  </si>
  <si>
    <t>01.03.03.13.07</t>
  </si>
  <si>
    <t>Instalación de aparatos sanitarios</t>
  </si>
  <si>
    <t>01.03.03.13.08</t>
  </si>
  <si>
    <t>Instalación de accesorios sanitarios complementarios</t>
  </si>
  <si>
    <t>01.03.03.14</t>
  </si>
  <si>
    <t>INSTALACIONES SANITARIAS</t>
  </si>
  <si>
    <t>Red de PVC tipo unión roscada  PN 10     DN  15  (incl. instalación accesorios)</t>
  </si>
  <si>
    <t>Red de PVC tipo unión roscada  PN 10     DN  20 (incl. instalación accesorios)</t>
  </si>
  <si>
    <t>Tuberia de PVC SAL 2"</t>
  </si>
  <si>
    <t>Tuberia de PVC SAL 4"</t>
  </si>
  <si>
    <t>Codo de P.V.C.  90°  tipo unión roscada  DN  15</t>
  </si>
  <si>
    <t>Codo de P.V.C.  90°  tipo unión roscada  DN  20</t>
  </si>
  <si>
    <t>Union Universal DN 20 mm (3/4")</t>
  </si>
  <si>
    <t>Válvula esférica</t>
  </si>
  <si>
    <t>01.03.03.13.09</t>
  </si>
  <si>
    <t>Tee  PVC Agua C-10 1/2"</t>
  </si>
  <si>
    <t>01.03.03.13.10</t>
  </si>
  <si>
    <t>Tee  PVC Agua C-10 3/4"</t>
  </si>
  <si>
    <t>01.03.03.13.11</t>
  </si>
  <si>
    <t>Reducción PVC 3/4" x 1/2"</t>
  </si>
  <si>
    <t>01.03.03.13.12</t>
  </si>
  <si>
    <t>Salida de PVC tipo unión roscada PN 10   DN  15  (punto)</t>
  </si>
  <si>
    <t>01.03.03.13.13</t>
  </si>
  <si>
    <t>Marco (e=1") y Tapa de Nicho Ac. Inoxidable Plancha 5/64" (0.25x0.20)</t>
  </si>
  <si>
    <t>01.03.03.13.14</t>
  </si>
  <si>
    <t>Codo de P.V.C. SAL 90°  DN   50</t>
  </si>
  <si>
    <t>01.03.03.13.15</t>
  </si>
  <si>
    <t>Codo de P.V.C. SAL 90°  DN  100</t>
  </si>
  <si>
    <t>01.03.03.13.16</t>
  </si>
  <si>
    <t>Codo de P.V.C. SAL 45°  DN   50</t>
  </si>
  <si>
    <t>01.03.03.13.17</t>
  </si>
  <si>
    <t>Codo de P.V.C. SAL 45°  DN  100</t>
  </si>
  <si>
    <t>01.03.03.13.18</t>
  </si>
  <si>
    <t>Trampa "P" de PVC SAL para desagüe       DN   50</t>
  </si>
  <si>
    <t>01.03.03.13.19</t>
  </si>
  <si>
    <t>Trampa "P" de PVC SAL para desagüe       DN  100</t>
  </si>
  <si>
    <t>01.03.03.13.20</t>
  </si>
  <si>
    <t>Sumidero de bronce 2"</t>
  </si>
  <si>
    <t>01.03.03.13.21</t>
  </si>
  <si>
    <t>Yee PVC SAL 2"</t>
  </si>
  <si>
    <t>01.03.03.13.22</t>
  </si>
  <si>
    <t>Yee PVC SAL 4"</t>
  </si>
  <si>
    <t>01.03.03.13.23</t>
  </si>
  <si>
    <t>Provisión y colocado de registro de bronce DN  50</t>
  </si>
  <si>
    <t>01.03.03.13.24</t>
  </si>
  <si>
    <t>Reducción de PVC SAL  DN 100   a  50</t>
  </si>
  <si>
    <t>01.03.03.13.25</t>
  </si>
  <si>
    <t>Salida de PVC SAL para desagüe (punto) D=2"</t>
  </si>
  <si>
    <t>pto</t>
  </si>
  <si>
    <t>01.03.03.13.26</t>
  </si>
  <si>
    <t>Salida de PVC SAL para desagüe (punto)   D=4"</t>
  </si>
  <si>
    <t>01.03.03.13.27</t>
  </si>
  <si>
    <t>Sombrero para ventilación 2" PVC</t>
  </si>
  <si>
    <t>01.03.03.13.28</t>
  </si>
  <si>
    <t>Caja de regist. alb. 12" x 24" c/tapa de concreto</t>
  </si>
  <si>
    <t>01.03.03.13.29</t>
  </si>
  <si>
    <t>Instalación de accesorios de P.V.C</t>
  </si>
  <si>
    <t>01.03.04</t>
  </si>
  <si>
    <t>CAJA DE REBOSE Y LIMPIA</t>
  </si>
  <si>
    <t>01.03.04.01</t>
  </si>
  <si>
    <t>01.03.04.01.01</t>
  </si>
  <si>
    <t>01.03.04.01.02</t>
  </si>
  <si>
    <t>01.03.04.02</t>
  </si>
  <si>
    <t>01.03.04.02.01</t>
  </si>
  <si>
    <t>Excavaciones terreno rocoso c/compresora hasta 3,00 m prof.(sin emplear explosivo)</t>
  </si>
  <si>
    <t>01.03.04.02.02</t>
  </si>
  <si>
    <t>01.03.04.02.03</t>
  </si>
  <si>
    <t>01.03.04.03</t>
  </si>
  <si>
    <t>01.03.04.03.01</t>
  </si>
  <si>
    <t>01.03.04.04</t>
  </si>
  <si>
    <t>01.03.04.04.01</t>
  </si>
  <si>
    <t>01.03.04.04.01.01</t>
  </si>
  <si>
    <t>Concreto f´c=210 kg/cm2 p/losas de fondo (cemento P-I)</t>
  </si>
  <si>
    <t>01.03.04.04.01.02</t>
  </si>
  <si>
    <t>01.03.04.04.02</t>
  </si>
  <si>
    <t>01.03.04.04.02.01</t>
  </si>
  <si>
    <t>Concreto f'c 210 kg/cm2 para muro reforzado (cemento P-I)</t>
  </si>
  <si>
    <t>01.03.04.04.02.02</t>
  </si>
  <si>
    <t>01.03.04.04.02.03</t>
  </si>
  <si>
    <t>01.03.04.04.03</t>
  </si>
  <si>
    <t>LOSAS REMOVIBLES</t>
  </si>
  <si>
    <t>01.03.04.04.03.01</t>
  </si>
  <si>
    <t>Concreto f'c 210 kg/cm2 para losas removibles (Cemento P-I)</t>
  </si>
  <si>
    <t>01.03.04.04.03.02</t>
  </si>
  <si>
    <t>Encofrado (incl. habilitación de madera) para losas removibles</t>
  </si>
  <si>
    <t>01.03.04.04.03.03</t>
  </si>
  <si>
    <t>Acero estructural trabajado p/losa removible (costo prom. incl. desperdicios)</t>
  </si>
  <si>
    <t>01.03.04.05</t>
  </si>
  <si>
    <t>01.03.04.05.01</t>
  </si>
  <si>
    <t>01.03.04.05.02</t>
  </si>
  <si>
    <t>01.03.04.05.03</t>
  </si>
  <si>
    <t>01.03.04.05.04</t>
  </si>
  <si>
    <t>01.03.04.06</t>
  </si>
  <si>
    <t>01.03.04.06.01</t>
  </si>
  <si>
    <t>Malla de acero inoxidable 1/2" AISI 316 soldada a boca de tubo</t>
  </si>
  <si>
    <t>01.03.04.06.02</t>
  </si>
  <si>
    <t>Tirador 1/4" para losa removible</t>
  </si>
  <si>
    <t>01.03.04.06.03</t>
  </si>
  <si>
    <t>01.03.04.06.04</t>
  </si>
  <si>
    <t>01.03.05</t>
  </si>
  <si>
    <t>POZO PERCOLADOR</t>
  </si>
  <si>
    <t>01.03.05.01</t>
  </si>
  <si>
    <t>01.03.05.01.01</t>
  </si>
  <si>
    <t>01.03.05.01.02</t>
  </si>
  <si>
    <t>01.03.05.02</t>
  </si>
  <si>
    <t>01.03.05.02.01</t>
  </si>
  <si>
    <t>01.03.05.02.02</t>
  </si>
  <si>
    <t>01.03.05.02.03</t>
  </si>
  <si>
    <t>01.03.05.03</t>
  </si>
  <si>
    <t>01.03.05.03.01</t>
  </si>
  <si>
    <t>Concreto f'c 140 kg/cm2 + 30% P.G. para  cimiento corrido (Cemento P-I)</t>
  </si>
  <si>
    <t>01.03.05.04</t>
  </si>
  <si>
    <t>01.03.05.04.01</t>
  </si>
  <si>
    <t>01.03.05.04.01.01</t>
  </si>
  <si>
    <t>Concreto f'c 210 kg/cm2 para losas macizas (Cemento P-I)</t>
  </si>
  <si>
    <t>01.03.05.04.01.02</t>
  </si>
  <si>
    <t>01.03.05.04.01.03</t>
  </si>
  <si>
    <t>01.03.05.05</t>
  </si>
  <si>
    <t>01.03.05.05.01</t>
  </si>
  <si>
    <t>01.03.05.06</t>
  </si>
  <si>
    <t>01.03.05.06.01</t>
  </si>
  <si>
    <t>Relleno con material de préstamo piedra  partida-grava 1/2" -3/4"</t>
  </si>
  <si>
    <t>01.03.05.06.02</t>
  </si>
  <si>
    <t>Tapa de concreto D=0.70m, e=10cm</t>
  </si>
  <si>
    <t>01.03.05.06.03</t>
  </si>
  <si>
    <t>01.03.05.06.04</t>
  </si>
  <si>
    <t>01.03.06</t>
  </si>
  <si>
    <t>CERCO PERIMETRICO</t>
  </si>
  <si>
    <t>01.03.06.01</t>
  </si>
  <si>
    <t>01.03.06.01.01</t>
  </si>
  <si>
    <t>Trazo y replanteo inicial  para cerco perimetrico (con equipo)</t>
  </si>
  <si>
    <t>01.03.06.01.02</t>
  </si>
  <si>
    <t>Replanteo final de la obra, para cerco perimetrico ( con equipo)</t>
  </si>
  <si>
    <t>01.03.06.02</t>
  </si>
  <si>
    <t>01.03.06.02.01</t>
  </si>
  <si>
    <t>01.03.06.02.02</t>
  </si>
  <si>
    <t>01.03.06.02.03</t>
  </si>
  <si>
    <t>01.03.06.02.04</t>
  </si>
  <si>
    <t>01.03.06.03</t>
  </si>
  <si>
    <t>01.03.06.03.01</t>
  </si>
  <si>
    <t>01.03.06.03.02</t>
  </si>
  <si>
    <t>01.03.06.03.03</t>
  </si>
  <si>
    <t>01.03.06.04</t>
  </si>
  <si>
    <t>01.03.06.04.01</t>
  </si>
  <si>
    <t>01.03.06.04.01.01</t>
  </si>
  <si>
    <t>Concreto f'c 175 kg/cm2 para columnas    (Cemento P-I)</t>
  </si>
  <si>
    <t>01.03.06.04.01.02</t>
  </si>
  <si>
    <t>01.03.06.04.01.03</t>
  </si>
  <si>
    <t>01.03.06.04.02</t>
  </si>
  <si>
    <t>01.03.06.04.02.01</t>
  </si>
  <si>
    <t>Concreto f'c 175 kg/cm2 para vigas       (Cemento P-I)</t>
  </si>
  <si>
    <t>01.03.06.04.02.02</t>
  </si>
  <si>
    <t>01.03.06.04.02.03</t>
  </si>
  <si>
    <t>01.03.06.05</t>
  </si>
  <si>
    <t>01.03.06.05.01</t>
  </si>
  <si>
    <t>Muros de ladrillo king kong de arcilla   de soga con mortero 1:4 x 1,5 cm</t>
  </si>
  <si>
    <t>01.03.06.05.02</t>
  </si>
  <si>
    <t>Alambre negro N°  8 para confinamiento   de muros (incluye desperdicio)</t>
  </si>
  <si>
    <t>01.03.06.05.03</t>
  </si>
  <si>
    <t>Solaqueado de muro caravista de ladrillo king kong soga con mortero  1:3</t>
  </si>
  <si>
    <t>01.03.06.06</t>
  </si>
  <si>
    <t>01.03.06.06.01</t>
  </si>
  <si>
    <t>Tarrajeo de columnas, vigas y sobrecimientos 1:5x1,5 cm</t>
  </si>
  <si>
    <t>01.03.06.07</t>
  </si>
  <si>
    <t>01.03.06.07.01</t>
  </si>
  <si>
    <t>Puerta metálica segun diseño y plano</t>
  </si>
  <si>
    <t>01.03.06.09</t>
  </si>
  <si>
    <t>01.03.06.09.01</t>
  </si>
  <si>
    <t>Pintado de muro exterior e interior con látex vinílico (vinilátex o similar)</t>
  </si>
  <si>
    <t>01.03.06.09.02</t>
  </si>
  <si>
    <t>Pintado de columnas, vigas y sobrecimientos on látex vinílico (vinilatex o similar)</t>
  </si>
  <si>
    <t>01.03.06.10</t>
  </si>
  <si>
    <t>01.03.06.09.03</t>
  </si>
  <si>
    <t>01.03.07</t>
  </si>
  <si>
    <t>CAMINO DE ACCESO</t>
  </si>
  <si>
    <t>01.03.07.01</t>
  </si>
  <si>
    <t>01.03.07.01.01</t>
  </si>
  <si>
    <t>01.03.07.01.02</t>
  </si>
  <si>
    <t>01.03.07.02</t>
  </si>
  <si>
    <t>01.03.07.02.01</t>
  </si>
  <si>
    <t>Corte de terreno para alcanzar nivel de plataforma</t>
  </si>
  <si>
    <t>01.03.07.02.02</t>
  </si>
  <si>
    <t>01.03.07.02.03</t>
  </si>
  <si>
    <t>Relleno compactado  con  material  de préstamo afirmado (incl. provisión)</t>
  </si>
  <si>
    <t>01.03.07.02.04</t>
  </si>
  <si>
    <t>01.03.07.03</t>
  </si>
  <si>
    <t>SUB BASE</t>
  </si>
  <si>
    <t>01.03.07.03.01</t>
  </si>
  <si>
    <t>Sub base de material granular compactada a pulso de 20 cm espesor</t>
  </si>
  <si>
    <t>RESERVORIO DE AGUA POTABLE RAP 2 (2900M3)</t>
  </si>
  <si>
    <t>01.04.01</t>
  </si>
  <si>
    <t>RESERVORIO APOYADO RAP-02</t>
  </si>
  <si>
    <t>01.04.01.01</t>
  </si>
  <si>
    <t>01.04.01.01.01</t>
  </si>
  <si>
    <t>01.04.01.01.02</t>
  </si>
  <si>
    <t>01.04.01.01.03</t>
  </si>
  <si>
    <t>01.04.01.01.04</t>
  </si>
  <si>
    <t>01.04.01.02</t>
  </si>
  <si>
    <t>01.04.01.02.01</t>
  </si>
  <si>
    <t>01.04.01.02.02</t>
  </si>
  <si>
    <t>01.04.01.02.03</t>
  </si>
  <si>
    <t>01.04.01.02.04</t>
  </si>
  <si>
    <t>01.04.01.02.05</t>
  </si>
  <si>
    <t>01.04.01.03</t>
  </si>
  <si>
    <t>01.04.01.03.01</t>
  </si>
  <si>
    <t>01.04.01.03.02</t>
  </si>
  <si>
    <t>01.04.01.04</t>
  </si>
  <si>
    <t>01.04.01.04.01</t>
  </si>
  <si>
    <t>01.04.01.04.01.01</t>
  </si>
  <si>
    <t>01.04.01.04.01.02</t>
  </si>
  <si>
    <t>01.04.01.04.01.03</t>
  </si>
  <si>
    <t>01.04.01.04.02</t>
  </si>
  <si>
    <t>01.04.01.04.02.01</t>
  </si>
  <si>
    <t>01.04.01.04.02.02</t>
  </si>
  <si>
    <t>01.04.01.04.03</t>
  </si>
  <si>
    <t>01.04.01.04.03.01</t>
  </si>
  <si>
    <t>01.04.01.04.03.02</t>
  </si>
  <si>
    <t>01.04.01.04.03.03</t>
  </si>
  <si>
    <t>01.04.01.04.04</t>
  </si>
  <si>
    <t>01.04.01.04.04.01</t>
  </si>
  <si>
    <t>01.04.01.04.04.02</t>
  </si>
  <si>
    <t>01.04.01.04.04.03</t>
  </si>
  <si>
    <t>01.04.01.04.05</t>
  </si>
  <si>
    <t>01.04.01.04.05.01</t>
  </si>
  <si>
    <t>01.04.01.04.05.02</t>
  </si>
  <si>
    <t>01.04.01.04.05.03</t>
  </si>
  <si>
    <t>01.04.01.04.06</t>
  </si>
  <si>
    <t>01.04.01.04.06.01</t>
  </si>
  <si>
    <t>01.04.01.04.06.02</t>
  </si>
  <si>
    <t>01.04.01.04.06.03</t>
  </si>
  <si>
    <t>01.04.01.05</t>
  </si>
  <si>
    <t>01.04.01.05.01</t>
  </si>
  <si>
    <t>01.04.01.05.02</t>
  </si>
  <si>
    <t>01.04.01.05.03</t>
  </si>
  <si>
    <t>01.04.01.05.04</t>
  </si>
  <si>
    <t>01.04.01.05.05</t>
  </si>
  <si>
    <t>01.04.01.05.06</t>
  </si>
  <si>
    <t>01.04.01.05.07</t>
  </si>
  <si>
    <t>01.04.01.05.08</t>
  </si>
  <si>
    <t>01.04.01.05.09</t>
  </si>
  <si>
    <t>01.04.01.05.10</t>
  </si>
  <si>
    <t>01.04.01.05.11</t>
  </si>
  <si>
    <t>01.04.01.06</t>
  </si>
  <si>
    <t>01.04.01.06.01</t>
  </si>
  <si>
    <t>01.04.01.07</t>
  </si>
  <si>
    <t>01.04.01.07.01</t>
  </si>
  <si>
    <t>01.04.01.07.02</t>
  </si>
  <si>
    <t>01.04.01.07.03</t>
  </si>
  <si>
    <t>01.04.01.07.04</t>
  </si>
  <si>
    <t>01.04.01.07.05</t>
  </si>
  <si>
    <t>Soporte metálico tipo abrazadera para tubería DN 300  a  350</t>
  </si>
  <si>
    <t>01.04.01.07.06</t>
  </si>
  <si>
    <t>Soporte metálico tipo abrazadera para tubería DN 400  a  450</t>
  </si>
  <si>
    <t>01.04.01.08</t>
  </si>
  <si>
    <t>01.04.01.08.01</t>
  </si>
  <si>
    <t>Pintado de muro y cupula exterior con látex vinílico (vinilátex o similar)</t>
  </si>
  <si>
    <t>01.04.01.09</t>
  </si>
  <si>
    <t>01.04.01.09.01</t>
  </si>
  <si>
    <t>Prueba hidráulica con empleo de cisterna y equipo de bombeo para el llenado y Evacuación del agua de prueba</t>
  </si>
  <si>
    <t>01.04.01.09.02</t>
  </si>
  <si>
    <t>01.04.01.09.03</t>
  </si>
  <si>
    <t>01.04.01.10</t>
  </si>
  <si>
    <t>01.04.01.10.01</t>
  </si>
  <si>
    <t>01.04.01.10.02</t>
  </si>
  <si>
    <t>01.04.01.10.03</t>
  </si>
  <si>
    <t>01.04.01.10.04</t>
  </si>
  <si>
    <t>01.04.02</t>
  </si>
  <si>
    <t>01.04.02.01</t>
  </si>
  <si>
    <t>01.04.02.01.01</t>
  </si>
  <si>
    <t>01.04.02.01.02</t>
  </si>
  <si>
    <t>01.04.02.02</t>
  </si>
  <si>
    <t>01.04.02.02.01</t>
  </si>
  <si>
    <t>01.04.02.02.02</t>
  </si>
  <si>
    <t>01.04.02.02.03</t>
  </si>
  <si>
    <t>01.04.02.02.04</t>
  </si>
  <si>
    <t>01.04.02.03</t>
  </si>
  <si>
    <t>01.04.02.03.01</t>
  </si>
  <si>
    <t>01.04.02.03.02</t>
  </si>
  <si>
    <t>01.04.02.03.03</t>
  </si>
  <si>
    <t>01.04.02.03.04</t>
  </si>
  <si>
    <t>01.04.02.03.05</t>
  </si>
  <si>
    <t>01.04.02.03.06</t>
  </si>
  <si>
    <t>01.04.02.04</t>
  </si>
  <si>
    <t>01.04.02.04.01</t>
  </si>
  <si>
    <t>01.04.02.04.01.01</t>
  </si>
  <si>
    <t>01.04.02.04.01.02</t>
  </si>
  <si>
    <t>01.04.02.04.02</t>
  </si>
  <si>
    <t>01.04.02.04.02.01</t>
  </si>
  <si>
    <t>01.04.02.04.02.02</t>
  </si>
  <si>
    <t>01.04.02.04.03</t>
  </si>
  <si>
    <t>01.04.02.04.03.01</t>
  </si>
  <si>
    <t>01.04.02.04.03.02</t>
  </si>
  <si>
    <t>01.04.02.04.03.03</t>
  </si>
  <si>
    <t>01.04.02.04.04</t>
  </si>
  <si>
    <t>01.04.02.04.04.01</t>
  </si>
  <si>
    <t>01.04.02.04.04.02</t>
  </si>
  <si>
    <t>01.04.02.04.04.03</t>
  </si>
  <si>
    <t>01.04.02.04.05</t>
  </si>
  <si>
    <t>01.04.02.04.05.01</t>
  </si>
  <si>
    <t>01.04.02.04.05.02</t>
  </si>
  <si>
    <t>01.04.02.04.05.03</t>
  </si>
  <si>
    <t>01.04.02.04.06</t>
  </si>
  <si>
    <t>LOSA MACIZA DE TECHO</t>
  </si>
  <si>
    <t>01.04.02.04.06.01</t>
  </si>
  <si>
    <t>01.04.02.04.06.02</t>
  </si>
  <si>
    <t>01.04.02.04.06.03</t>
  </si>
  <si>
    <t>01.04.02.05</t>
  </si>
  <si>
    <t>01.04.02.05.01</t>
  </si>
  <si>
    <t>01.04.02.05.02</t>
  </si>
  <si>
    <t>01.04.02.05.03</t>
  </si>
  <si>
    <t>01.04.02.05.04</t>
  </si>
  <si>
    <t>01.04.02.05.05</t>
  </si>
  <si>
    <t>01.04.02.05.06</t>
  </si>
  <si>
    <t>01.04.02.05.07</t>
  </si>
  <si>
    <t>01.04.02.05.08</t>
  </si>
  <si>
    <t>01.04.02.05.09</t>
  </si>
  <si>
    <t>01.04.02.05.10</t>
  </si>
  <si>
    <t>01.04.02.05.11</t>
  </si>
  <si>
    <t>01.04.02.05.12</t>
  </si>
  <si>
    <t>01.04.02.06</t>
  </si>
  <si>
    <t>01.04.02.06.01</t>
  </si>
  <si>
    <t>01.04.02.06.02</t>
  </si>
  <si>
    <t>01.04.02.07</t>
  </si>
  <si>
    <t>01.04.02.07.01</t>
  </si>
  <si>
    <t>01.04.02.07.02</t>
  </si>
  <si>
    <t>01.04.02.07.04</t>
  </si>
  <si>
    <t>01.04.02.08</t>
  </si>
  <si>
    <t>01.04.02.08.01</t>
  </si>
  <si>
    <t>01.04.02.08.02</t>
  </si>
  <si>
    <t>01.04.02.08.03</t>
  </si>
  <si>
    <t>01.04.02.09</t>
  </si>
  <si>
    <t>01.04.02.09.01</t>
  </si>
  <si>
    <t>01.04.02.10</t>
  </si>
  <si>
    <t>01.04.02.10.01</t>
  </si>
  <si>
    <t>01.04.02.10.02</t>
  </si>
  <si>
    <t>01.04.03</t>
  </si>
  <si>
    <t>01.04.03.01</t>
  </si>
  <si>
    <t>01.04.03.01.01</t>
  </si>
  <si>
    <t>01.04.03.01.02</t>
  </si>
  <si>
    <t>01.04.03.02</t>
  </si>
  <si>
    <t>01.04.03.02.01</t>
  </si>
  <si>
    <t>01.04.03.02.02</t>
  </si>
  <si>
    <t>01.04.03.02.03</t>
  </si>
  <si>
    <t>01.04.03.03</t>
  </si>
  <si>
    <t>01.04.03.03.01</t>
  </si>
  <si>
    <t>01.04.03.04</t>
  </si>
  <si>
    <t>01.04.03.04.01</t>
  </si>
  <si>
    <t>01.04.03.04.01.01</t>
  </si>
  <si>
    <t>01.04.03.04.01.02</t>
  </si>
  <si>
    <t>01.04.03.04.02</t>
  </si>
  <si>
    <t>01.04.03.04.02.01</t>
  </si>
  <si>
    <t>01.04.03.04.02.02</t>
  </si>
  <si>
    <t>01.04.03.04.02.03</t>
  </si>
  <si>
    <t>01.04.03.04.03</t>
  </si>
  <si>
    <t>01.04.03.04.03.01</t>
  </si>
  <si>
    <t>01.04.03.04.03.02</t>
  </si>
  <si>
    <t>01.04.03.04.03.03</t>
  </si>
  <si>
    <t>01.04.03.05</t>
  </si>
  <si>
    <t>01.04.03.05.01</t>
  </si>
  <si>
    <t>01.04.03.05.02</t>
  </si>
  <si>
    <t>01.04.03.05.03</t>
  </si>
  <si>
    <t>01.04.03.05.04</t>
  </si>
  <si>
    <t>01.04.03.06</t>
  </si>
  <si>
    <t>01.04.03.06.01</t>
  </si>
  <si>
    <t>01.04.03.06.02</t>
  </si>
  <si>
    <t>01.04.03.06.03</t>
  </si>
  <si>
    <t>01.04.03.06.04</t>
  </si>
  <si>
    <t>01.04.04</t>
  </si>
  <si>
    <t>01.04.04.01</t>
  </si>
  <si>
    <t>01.04.04.01.01</t>
  </si>
  <si>
    <t>01.04.04.01.02</t>
  </si>
  <si>
    <t>01.04.04.02</t>
  </si>
  <si>
    <t>01.04.04.02.01</t>
  </si>
  <si>
    <t>01.04.04.02.02</t>
  </si>
  <si>
    <t>01.04.04.02.03</t>
  </si>
  <si>
    <t>01.04.04.02.04</t>
  </si>
  <si>
    <t>01.04.04.03</t>
  </si>
  <si>
    <t>01.04.04.03.01</t>
  </si>
  <si>
    <t>01.04.04.03.02</t>
  </si>
  <si>
    <t>Concreto 1:8 + 25% P.M. p/sobrecimientos (Cemento P-V)</t>
  </si>
  <si>
    <t>01.04.04.03.03</t>
  </si>
  <si>
    <t>01.04.04.04</t>
  </si>
  <si>
    <t>01.04.04.04.01</t>
  </si>
  <si>
    <t>01.04.04.04.01.01</t>
  </si>
  <si>
    <t>01.04.04.04.01.02</t>
  </si>
  <si>
    <t>01.04.04.04.01.03</t>
  </si>
  <si>
    <t>01.04.04.04.02</t>
  </si>
  <si>
    <t>01.04.04.04.02.01</t>
  </si>
  <si>
    <t>01.04.04.04.02.02</t>
  </si>
  <si>
    <t>01.04.04.04.02.03</t>
  </si>
  <si>
    <t>01.04.04.05</t>
  </si>
  <si>
    <t>01.04.04.05.01</t>
  </si>
  <si>
    <t>01.04.04.05.02</t>
  </si>
  <si>
    <t>01.04.04.05.03</t>
  </si>
  <si>
    <t>01.04.04.06</t>
  </si>
  <si>
    <t>01.04.04.06.01</t>
  </si>
  <si>
    <t>01.04.04.07</t>
  </si>
  <si>
    <t>01.04.04.07.01</t>
  </si>
  <si>
    <t>01.04.04.09</t>
  </si>
  <si>
    <t>01.04.04.09.01</t>
  </si>
  <si>
    <t>01.04.04.09.02</t>
  </si>
  <si>
    <t>01.04.04.10</t>
  </si>
  <si>
    <t>01.04.04.09.03</t>
  </si>
  <si>
    <t>01.04.05</t>
  </si>
  <si>
    <t>01.04.05.01</t>
  </si>
  <si>
    <t>01.04.05.01.01</t>
  </si>
  <si>
    <t>01.04.05.01.02</t>
  </si>
  <si>
    <t>01.04.05.02</t>
  </si>
  <si>
    <t>01.04.05.02.01</t>
  </si>
  <si>
    <t>01.04.05.02.02</t>
  </si>
  <si>
    <t>01.04.05.02.03</t>
  </si>
  <si>
    <t>01.04.05.02.04</t>
  </si>
  <si>
    <t>01.04.05.03</t>
  </si>
  <si>
    <t>01.04.05.03.01</t>
  </si>
  <si>
    <t>CISTERNA PROYECTADA CP-01 (V = 350m3)</t>
  </si>
  <si>
    <t>01.05.01</t>
  </si>
  <si>
    <t>CÁMARA HÚMEDA</t>
  </si>
  <si>
    <t>01.05.01.01</t>
  </si>
  <si>
    <t>01.05.01.01.01</t>
  </si>
  <si>
    <t>01.05.01.01.02</t>
  </si>
  <si>
    <t>01.05.01.01.03</t>
  </si>
  <si>
    <t>01.05.01.01.04</t>
  </si>
  <si>
    <t>01.05.01.01.05</t>
  </si>
  <si>
    <t>Demolicion y eliminacion de estrctura existente</t>
  </si>
  <si>
    <t>01.05.01.02</t>
  </si>
  <si>
    <t>01.05.01.02.01</t>
  </si>
  <si>
    <t>01.05.01.02.03</t>
  </si>
  <si>
    <t>01.05.01.03</t>
  </si>
  <si>
    <t>01.05.01.03.01</t>
  </si>
  <si>
    <t>01.05.01.04</t>
  </si>
  <si>
    <t>01.05.01.04.01</t>
  </si>
  <si>
    <t>LOSA DE CIMENTACIÓN</t>
  </si>
  <si>
    <t>01.05.01.04.01.01</t>
  </si>
  <si>
    <t>Concreto pre-mezclado f'c 280 kg/cm2  p/ cimientos reforzados (Cemento P-I)</t>
  </si>
  <si>
    <t>01.05.01.04.01.02</t>
  </si>
  <si>
    <t>Encofrado (incl. habilitación de madera) para cimientos reforzados</t>
  </si>
  <si>
    <t>01.05.01.04.01.03</t>
  </si>
  <si>
    <t>Acero estruc. trabajado p/cimiento ref.  (costo prom. incl. desperdicios)</t>
  </si>
  <si>
    <t>01.05.01.04.02</t>
  </si>
  <si>
    <t>01.05.01.04.02.01</t>
  </si>
  <si>
    <t>01.05.01.04.02.02</t>
  </si>
  <si>
    <t>01.05.01.04.02.03</t>
  </si>
  <si>
    <t>01.05.01.04.03</t>
  </si>
  <si>
    <t>01.05.01.04.03.01</t>
  </si>
  <si>
    <t>01.05.01.04.03.02</t>
  </si>
  <si>
    <t>01.05.01.04.03.03</t>
  </si>
  <si>
    <t>01.05.01.04.04</t>
  </si>
  <si>
    <t>LOSA MACIZA</t>
  </si>
  <si>
    <t>01.05.01.04.04.01</t>
  </si>
  <si>
    <t>Concreto pre-mezclado f'c 280 kg/cm2 p/  losas macizas (Cemento P-I)</t>
  </si>
  <si>
    <t>01.05.01.04.04.02</t>
  </si>
  <si>
    <t>01.05.01.04.04.03</t>
  </si>
  <si>
    <t>01.05.01.05</t>
  </si>
  <si>
    <t>01.05.01.05.01</t>
  </si>
  <si>
    <t>01.05.01.05.02</t>
  </si>
  <si>
    <t>01.05.01.05.03</t>
  </si>
  <si>
    <t>01.05.01.05.04</t>
  </si>
  <si>
    <t>01.05.01.05.05</t>
  </si>
  <si>
    <t>01.05.01.05.06</t>
  </si>
  <si>
    <t>01.05.01.05.07</t>
  </si>
  <si>
    <t>01.05.01.05.08</t>
  </si>
  <si>
    <t>01.05.01.05.09</t>
  </si>
  <si>
    <t>01.05.01.05.10</t>
  </si>
  <si>
    <t>01.05.01.05.11</t>
  </si>
  <si>
    <t>01.05.01.06</t>
  </si>
  <si>
    <t>01.05.01.06.01</t>
  </si>
  <si>
    <t>01.05.01.07</t>
  </si>
  <si>
    <t>01.05.01.07.01</t>
  </si>
  <si>
    <t>01.05.01.08</t>
  </si>
  <si>
    <t>01.05.01.08.01</t>
  </si>
  <si>
    <t>01.05.01.08.03</t>
  </si>
  <si>
    <t>01.05.01.09</t>
  </si>
  <si>
    <t>01.05.01.09.01</t>
  </si>
  <si>
    <t>01.05.01.09.02</t>
  </si>
  <si>
    <t>01.05.02</t>
  </si>
  <si>
    <t>CÁMARA SECA</t>
  </si>
  <si>
    <t>01.05.02.01</t>
  </si>
  <si>
    <t>01.05.02.01.01</t>
  </si>
  <si>
    <t>01.05.02.01.02</t>
  </si>
  <si>
    <t>01.05.02.01.03</t>
  </si>
  <si>
    <t>01.05.02.01.04</t>
  </si>
  <si>
    <t>01.05.02.02</t>
  </si>
  <si>
    <t>01.05.02.02.01</t>
  </si>
  <si>
    <t>01.05.02.02.01.01</t>
  </si>
  <si>
    <t>Concreto pre-mezclado f'c 280 kg/cm2     p/columnas (Cemento P-I)</t>
  </si>
  <si>
    <t>01.05.02.02.01.02</t>
  </si>
  <si>
    <t>01.05.02.02.01.03</t>
  </si>
  <si>
    <t>01.05.02.02.02</t>
  </si>
  <si>
    <t>01.05.02.02.02.01</t>
  </si>
  <si>
    <t>01.05.02.02.02.02</t>
  </si>
  <si>
    <t>01.05.02.02.02.03</t>
  </si>
  <si>
    <t>01.05.02.02.03</t>
  </si>
  <si>
    <t>01.05.02.02.03.01</t>
  </si>
  <si>
    <t>01.05.02.02.03.02</t>
  </si>
  <si>
    <t>01.05.02.02.03.03</t>
  </si>
  <si>
    <t>01.05.02.02.04</t>
  </si>
  <si>
    <t>01.05.02.02.04.01</t>
  </si>
  <si>
    <t>01.05.02.02.04.02</t>
  </si>
  <si>
    <t>01.05.02.02.04.03</t>
  </si>
  <si>
    <t>01.05.02.03</t>
  </si>
  <si>
    <t>01.05.02.03.01</t>
  </si>
  <si>
    <t>01.05.02.03.02</t>
  </si>
  <si>
    <t>01.05.02.03.03</t>
  </si>
  <si>
    <t>01.05.02.03.04</t>
  </si>
  <si>
    <t>01.05.02.03.05</t>
  </si>
  <si>
    <t>01.05.02.03.06</t>
  </si>
  <si>
    <t>01.05.02.03.07</t>
  </si>
  <si>
    <t>01.05.02.03.08</t>
  </si>
  <si>
    <t>01.05.02.03.09</t>
  </si>
  <si>
    <t>01.05.02.03.10</t>
  </si>
  <si>
    <t>01.05.02.03.11</t>
  </si>
  <si>
    <t>01.05.02.03.12</t>
  </si>
  <si>
    <t>01.05.02.04</t>
  </si>
  <si>
    <t>01.05.02.04.01</t>
  </si>
  <si>
    <t>01.05.02.05</t>
  </si>
  <si>
    <t>01.05.02.05.01</t>
  </si>
  <si>
    <t>01.05.02.05.02</t>
  </si>
  <si>
    <t>01.05.02.05.03</t>
  </si>
  <si>
    <t>01.05.02.05.04</t>
  </si>
  <si>
    <t>Malla metálica protectora con alambre    N° 12 por cocadas de 1"</t>
  </si>
  <si>
    <t>01.05.02.05.05</t>
  </si>
  <si>
    <t>01.05.02.05.06</t>
  </si>
  <si>
    <t>Marco y tapa de hierro dúctil DI=0,60 m con mecanismo de seguridad según especificación.</t>
  </si>
  <si>
    <t>01.05.02.07</t>
  </si>
  <si>
    <t>01.05.02.07.01</t>
  </si>
  <si>
    <t>01.05.02.06.02</t>
  </si>
  <si>
    <t>01.05.02.06.03</t>
  </si>
  <si>
    <t>01.05.02.06.04</t>
  </si>
  <si>
    <t>Pintado de ventanas metálicas (2manos anticorrosiva + 2esmalte)</t>
  </si>
  <si>
    <t>01.05.02.08</t>
  </si>
  <si>
    <t>01.05.02.08.01</t>
  </si>
  <si>
    <t>01.05.02.09</t>
  </si>
  <si>
    <t>01.05.03</t>
  </si>
  <si>
    <t>CAJA DE REBOSE</t>
  </si>
  <si>
    <t>01.05.03.01</t>
  </si>
  <si>
    <t>01.05.03.01.01</t>
  </si>
  <si>
    <t>01.05.03.01.02</t>
  </si>
  <si>
    <t>01.05.03.02</t>
  </si>
  <si>
    <t>01.05.03.02.01</t>
  </si>
  <si>
    <t>01.05.03.02.02</t>
  </si>
  <si>
    <t>01.05.03.02.03</t>
  </si>
  <si>
    <t>01.05.03.03</t>
  </si>
  <si>
    <t>01.05.03.03.01</t>
  </si>
  <si>
    <t>01.05.03.04</t>
  </si>
  <si>
    <t>01.05.03.04.01</t>
  </si>
  <si>
    <t>01.05.03.04.01.01</t>
  </si>
  <si>
    <t>01.05.03.04.01.02</t>
  </si>
  <si>
    <t>01.05.03.04.02</t>
  </si>
  <si>
    <t>01.05.03.04.02.01</t>
  </si>
  <si>
    <t>01.05.03.04.02.02</t>
  </si>
  <si>
    <t>01.05.03.04.02.03</t>
  </si>
  <si>
    <t>01.05.03.04.03</t>
  </si>
  <si>
    <t>01.05.03.04.03.01</t>
  </si>
  <si>
    <t>01.05.03.04.03.02</t>
  </si>
  <si>
    <t>01.05.03.04.03.03</t>
  </si>
  <si>
    <t>01.05.03.05</t>
  </si>
  <si>
    <t>01.05.03.05.01</t>
  </si>
  <si>
    <t>01.05.03.05.02</t>
  </si>
  <si>
    <t>01.05.03.05.03</t>
  </si>
  <si>
    <t>01.05.03.05.04</t>
  </si>
  <si>
    <t>01.05.03.06</t>
  </si>
  <si>
    <t>01.05.03.06.01</t>
  </si>
  <si>
    <t>01.05.03.06.02</t>
  </si>
  <si>
    <t>01.05.03.06.03</t>
  </si>
  <si>
    <t>01.05.03.06.04</t>
  </si>
  <si>
    <t>01.05.04</t>
  </si>
  <si>
    <t>01.05.04.01</t>
  </si>
  <si>
    <t>01.05.04.01.01</t>
  </si>
  <si>
    <t>01.05.04.01.02</t>
  </si>
  <si>
    <t>01.05.04.02</t>
  </si>
  <si>
    <t>01.05.04.02.01</t>
  </si>
  <si>
    <t>01.05.04.02.02</t>
  </si>
  <si>
    <t>01.05.04.02.03</t>
  </si>
  <si>
    <t>01.05.04.02.04</t>
  </si>
  <si>
    <t>01.05.04.03</t>
  </si>
  <si>
    <t>01.05.04.03.01</t>
  </si>
  <si>
    <t>01.05.04.03.02</t>
  </si>
  <si>
    <t>01.05.04.03.03</t>
  </si>
  <si>
    <t>01.05.04.03.04</t>
  </si>
  <si>
    <t>01.05.04.04</t>
  </si>
  <si>
    <t>01.05.04.04.01</t>
  </si>
  <si>
    <t>ZAPATA</t>
  </si>
  <si>
    <t>01.05.04.04.01.01</t>
  </si>
  <si>
    <t>01.05.04.04.01.02</t>
  </si>
  <si>
    <t>01.05.04.04.02</t>
  </si>
  <si>
    <t>01.05.04.04.02.01</t>
  </si>
  <si>
    <t>01.05.04.04.02.02</t>
  </si>
  <si>
    <t>01.05.04.04.02.03</t>
  </si>
  <si>
    <t>01.05.04.04.03</t>
  </si>
  <si>
    <t>01.05.04.04.03.01</t>
  </si>
  <si>
    <t>01.05.04.04.03.02</t>
  </si>
  <si>
    <t>01.05.04.04.03.03</t>
  </si>
  <si>
    <t>01.05.04.04.04</t>
  </si>
  <si>
    <t>01.05.04.04.04.01</t>
  </si>
  <si>
    <t>01.05.04.04.04.02</t>
  </si>
  <si>
    <t>01.05.04.04.04.03</t>
  </si>
  <si>
    <t>01.05.04.05</t>
  </si>
  <si>
    <t>01.05.04.05.01</t>
  </si>
  <si>
    <t>01.05.04.06</t>
  </si>
  <si>
    <t>01.05.04.06.01</t>
  </si>
  <si>
    <t>01.05.04.06.02</t>
  </si>
  <si>
    <t>01.05.04.06.03</t>
  </si>
  <si>
    <t>01.05.04.06.04</t>
  </si>
  <si>
    <t>01.05.04.06.05</t>
  </si>
  <si>
    <t>01.05.04.06.06</t>
  </si>
  <si>
    <t>01.05.04.06.07</t>
  </si>
  <si>
    <t>01.05.04.07</t>
  </si>
  <si>
    <t>01.05.04.07.01</t>
  </si>
  <si>
    <t>01.05.04.07.02</t>
  </si>
  <si>
    <t>01.05.04.08</t>
  </si>
  <si>
    <t>01.05.04.08.01</t>
  </si>
  <si>
    <t>Puerta metálica tipo P-3 segun diseño y plano</t>
  </si>
  <si>
    <t>01.05.04.08.02</t>
  </si>
  <si>
    <t>01.05.04.10</t>
  </si>
  <si>
    <t>01.05.04.10.01</t>
  </si>
  <si>
    <t>01.05.04.09.02</t>
  </si>
  <si>
    <t>01.05.04.09.03</t>
  </si>
  <si>
    <t>01.05.04.11</t>
  </si>
  <si>
    <t>01.05.04.11.01</t>
  </si>
  <si>
    <t>01.05.04.12</t>
  </si>
  <si>
    <t>01.05.04.12.01</t>
  </si>
  <si>
    <t>01.05.04.13</t>
  </si>
  <si>
    <t>01.05.04.13.01</t>
  </si>
  <si>
    <t>01.05.04.13.02</t>
  </si>
  <si>
    <t>01.05.04.13.03</t>
  </si>
  <si>
    <t>01.05.04.13.04</t>
  </si>
  <si>
    <t>01.05.04.13.05</t>
  </si>
  <si>
    <t>01.05.04.13.06</t>
  </si>
  <si>
    <t>01.05.04.13.07</t>
  </si>
  <si>
    <t>01.05.04.14</t>
  </si>
  <si>
    <t>Tubo CPVC p/Agua Caliente D= 1/2"</t>
  </si>
  <si>
    <t>Tuberia de PVC SAL 3"</t>
  </si>
  <si>
    <t>01.05.04.13.08</t>
  </si>
  <si>
    <t>01.05.04.13.09</t>
  </si>
  <si>
    <t>Codo CPVC 1/2"</t>
  </si>
  <si>
    <t>01.05.04.13.10</t>
  </si>
  <si>
    <t>Union Universal DN 15 mm (1/2")</t>
  </si>
  <si>
    <t>01.05.04.13.11</t>
  </si>
  <si>
    <t>01.05.04.13.12</t>
  </si>
  <si>
    <t>Válvula esférica (1/2")</t>
  </si>
  <si>
    <t>01.05.04.13.13</t>
  </si>
  <si>
    <t>Válvula esférica (3/4")</t>
  </si>
  <si>
    <t>01.05.04.13.15</t>
  </si>
  <si>
    <t>01.05.04.13.16</t>
  </si>
  <si>
    <t>01.05.04.13.17</t>
  </si>
  <si>
    <t>01.05.04.13.18</t>
  </si>
  <si>
    <t>01.05.04.13.19</t>
  </si>
  <si>
    <t>01.05.04.13.20</t>
  </si>
  <si>
    <t>Codo de P.V.C. SAL 90°  DN  80</t>
  </si>
  <si>
    <t>01.05.04.13.21</t>
  </si>
  <si>
    <t>01.05.04.13.22</t>
  </si>
  <si>
    <t>01.05.04.13.23</t>
  </si>
  <si>
    <t>Codo de P.V.C. SAL 45°  DN  25</t>
  </si>
  <si>
    <t>01.05.04.13.24</t>
  </si>
  <si>
    <t>01.05.04.13.25</t>
  </si>
  <si>
    <t>01.05.04.13.26</t>
  </si>
  <si>
    <t>01.05.04.13.27</t>
  </si>
  <si>
    <t>01.05.04.13.28</t>
  </si>
  <si>
    <t>01.05.04.13.29</t>
  </si>
  <si>
    <t>01.05.04.13.30</t>
  </si>
  <si>
    <t>01.05.04.13.31</t>
  </si>
  <si>
    <t>Reducción de PVC SAL  DN 100   a  80</t>
  </si>
  <si>
    <t>01.05.04.13.32</t>
  </si>
  <si>
    <t>01.05.04.13.33</t>
  </si>
  <si>
    <t>01.05.04.13.34</t>
  </si>
  <si>
    <t>01.05.04.13.35</t>
  </si>
  <si>
    <t>01.05.04.13.36</t>
  </si>
  <si>
    <t>Tanque elevado V=600 lt</t>
  </si>
  <si>
    <t>01.05.04.13.37</t>
  </si>
  <si>
    <t>01.05.05</t>
  </si>
  <si>
    <t>CUARTO GENERADOR</t>
  </si>
  <si>
    <t>01.05.05.01</t>
  </si>
  <si>
    <t>01.05.05.01.01</t>
  </si>
  <si>
    <t>01.05.05.01.02</t>
  </si>
  <si>
    <t>01.05.05.02</t>
  </si>
  <si>
    <t>01.05.05.02.01</t>
  </si>
  <si>
    <t>01.05.05.02.02</t>
  </si>
  <si>
    <t>01.05.05.02.03</t>
  </si>
  <si>
    <t>01.05.05.02.04</t>
  </si>
  <si>
    <t>01.05.05.03</t>
  </si>
  <si>
    <t>01.05.05.03.01</t>
  </si>
  <si>
    <t>01.05.05.03.02</t>
  </si>
  <si>
    <t>01.05.05.03.03</t>
  </si>
  <si>
    <t>01.05.05.03.04</t>
  </si>
  <si>
    <t>01.05.05.04</t>
  </si>
  <si>
    <t>01.05.05.04.01</t>
  </si>
  <si>
    <t>01.05.05.04.01.01</t>
  </si>
  <si>
    <t>Concreto f'c 210 kg/cm2 para zapatas     (Cemento P-I)</t>
  </si>
  <si>
    <t>01.05.05.04.01.02</t>
  </si>
  <si>
    <t>01.05.05.04.02</t>
  </si>
  <si>
    <t>01.05.05.04.02.01</t>
  </si>
  <si>
    <t>Concreto f'c 210 kg/cm2 para columnas    (Cemento P-I)</t>
  </si>
  <si>
    <t>01.05.05.04.02.02</t>
  </si>
  <si>
    <t>01.05.05.04.02.03</t>
  </si>
  <si>
    <t>01.05.05.04.03</t>
  </si>
  <si>
    <t>01.05.05.04.03.01</t>
  </si>
  <si>
    <t>Concreto f'c 210 kg/cm2 para vigas       (Cemento P-I)</t>
  </si>
  <si>
    <t>01.05.05.04.03.02</t>
  </si>
  <si>
    <t>01.05.05.04.03.03</t>
  </si>
  <si>
    <t>01.05.05.04.04</t>
  </si>
  <si>
    <t>01.05.05.04.04.01</t>
  </si>
  <si>
    <t>01.05.05.04.04.02</t>
  </si>
  <si>
    <t>01.05.05.04.04.03</t>
  </si>
  <si>
    <t>01.05.05.05</t>
  </si>
  <si>
    <t>01.05.05.05.01</t>
  </si>
  <si>
    <t>01.05.05.05.02</t>
  </si>
  <si>
    <t>01.05.05.05.03</t>
  </si>
  <si>
    <t>01.05.05.05.04</t>
  </si>
  <si>
    <t>01.05.05.05.05</t>
  </si>
  <si>
    <t>Tarrajeo frotachado en vigas peraltadas C:A 1:4 e=1.5cm (Cemento P-I)</t>
  </si>
  <si>
    <t>01.05.05.05.06</t>
  </si>
  <si>
    <t>01.05.05.05.07</t>
  </si>
  <si>
    <t>01.05.05.06</t>
  </si>
  <si>
    <t>01.05.05.06.01</t>
  </si>
  <si>
    <t>Acabado pulido de piso con mortero 1:5 x 1,5 cm de espesor</t>
  </si>
  <si>
    <t>01.05.05.07</t>
  </si>
  <si>
    <t>01.05.05.07.01</t>
  </si>
  <si>
    <t>Puerta metálica tipo P-4 segun diseño y plano</t>
  </si>
  <si>
    <t>01.05.05.07.02</t>
  </si>
  <si>
    <t>01.05.05.09</t>
  </si>
  <si>
    <t>01.05.05.09.01</t>
  </si>
  <si>
    <t>01.05.05.08.02</t>
  </si>
  <si>
    <t>01.05.05.08.03</t>
  </si>
  <si>
    <t>01.05.05.10</t>
  </si>
  <si>
    <t>01.05.05.10.01</t>
  </si>
  <si>
    <t>01.05.05.11</t>
  </si>
  <si>
    <t>01.05.06</t>
  </si>
  <si>
    <t>CUARTO ELÉCTRICO</t>
  </si>
  <si>
    <t>01.05.06.01</t>
  </si>
  <si>
    <t>01.05.06.01.01</t>
  </si>
  <si>
    <t>01.05.06.01.02</t>
  </si>
  <si>
    <t>01.05.06.02</t>
  </si>
  <si>
    <t>01.05.06.02.01</t>
  </si>
  <si>
    <t>01.05.06.02.02</t>
  </si>
  <si>
    <t>01.05.06.02.03</t>
  </si>
  <si>
    <t>01.05.06.02.04</t>
  </si>
  <si>
    <t>01.05.06.03</t>
  </si>
  <si>
    <t>01.05.06.03.01</t>
  </si>
  <si>
    <t>01.05.06.03.02</t>
  </si>
  <si>
    <t>01.05.06.03.03</t>
  </si>
  <si>
    <t>01.05.06.03.04</t>
  </si>
  <si>
    <t>01.05.06.04</t>
  </si>
  <si>
    <t>01.05.06.04.01</t>
  </si>
  <si>
    <t>01.05.06.04.01.01</t>
  </si>
  <si>
    <t>01.05.06.04.01.02</t>
  </si>
  <si>
    <t>01.05.06.04.02</t>
  </si>
  <si>
    <t>01.05.06.04.02.01</t>
  </si>
  <si>
    <t>01.05.06.04.02.02</t>
  </si>
  <si>
    <t>01.05.06.04.02.03</t>
  </si>
  <si>
    <t>01.05.06.04.03</t>
  </si>
  <si>
    <t>01.05.06.04.03.01</t>
  </si>
  <si>
    <t>01.05.06.04.03.02</t>
  </si>
  <si>
    <t>01.05.06.04.03.03</t>
  </si>
  <si>
    <t>01.05.06.04.04</t>
  </si>
  <si>
    <t>01.05.06.04.04.01</t>
  </si>
  <si>
    <t>01.05.06.04.04.02</t>
  </si>
  <si>
    <t>01.05.06.04.04.03</t>
  </si>
  <si>
    <t>01.05.06.05</t>
  </si>
  <si>
    <t>01.05.06.05.01</t>
  </si>
  <si>
    <t>01.05.06.05.02</t>
  </si>
  <si>
    <t>01.05.06.05.03</t>
  </si>
  <si>
    <t>01.05.06.05.04</t>
  </si>
  <si>
    <t>01.05.06.05.05</t>
  </si>
  <si>
    <t>01.05.06.05.06</t>
  </si>
  <si>
    <t>01.05.06.05.07</t>
  </si>
  <si>
    <t>01.05.06.06</t>
  </si>
  <si>
    <t>01.05.06.06.01</t>
  </si>
  <si>
    <t>01.05.06.07</t>
  </si>
  <si>
    <t>01.05.06.07.01</t>
  </si>
  <si>
    <t>01.05.06.07.02</t>
  </si>
  <si>
    <t>01.05.06.09</t>
  </si>
  <si>
    <t>01.05.06.09.01</t>
  </si>
  <si>
    <t>01.05.06.09.02</t>
  </si>
  <si>
    <t>01.05.06.08.03</t>
  </si>
  <si>
    <t>01.05.06.10</t>
  </si>
  <si>
    <t>01.05.07</t>
  </si>
  <si>
    <t>CÁMARA DE INGRESO</t>
  </si>
  <si>
    <t>01.05.07.01</t>
  </si>
  <si>
    <t>01.05.07.01.01</t>
  </si>
  <si>
    <t>01.05.07.01.02</t>
  </si>
  <si>
    <t>01.05.07.02</t>
  </si>
  <si>
    <t>01.05.07.02.01</t>
  </si>
  <si>
    <t>01.05.07.02.02</t>
  </si>
  <si>
    <t>01.05.07.02.03</t>
  </si>
  <si>
    <t>01.05.07.03</t>
  </si>
  <si>
    <t>01.05.07.03.01</t>
  </si>
  <si>
    <t>01.05.07.04</t>
  </si>
  <si>
    <t>01.05.07.04.01</t>
  </si>
  <si>
    <t>01.05.07.04.01.01</t>
  </si>
  <si>
    <t>01.05.07.04.01.02</t>
  </si>
  <si>
    <t>01.05.07.04.02</t>
  </si>
  <si>
    <t>01.05.07.04.02.01</t>
  </si>
  <si>
    <t>01.05.07.04.02.02</t>
  </si>
  <si>
    <t>01.05.07.04.02.03</t>
  </si>
  <si>
    <t>01.05.07.04.03</t>
  </si>
  <si>
    <t>01.05.07.04.03.01</t>
  </si>
  <si>
    <t>01.05.07.04.03.02</t>
  </si>
  <si>
    <t>01.05.07.04.03.03</t>
  </si>
  <si>
    <t>01.05.07.05</t>
  </si>
  <si>
    <t>01.05.07.05.01</t>
  </si>
  <si>
    <t>01.05.07.05.02</t>
  </si>
  <si>
    <t>01.05.07.05.03</t>
  </si>
  <si>
    <t>01.05.07.05.04</t>
  </si>
  <si>
    <t>01.05.07.06</t>
  </si>
  <si>
    <t>01.05.07.06.01</t>
  </si>
  <si>
    <t>01.05.07.06.02</t>
  </si>
  <si>
    <t>01.05.07.06.03</t>
  </si>
  <si>
    <t>01.05.08</t>
  </si>
  <si>
    <t>MURO DE CONTENCIÓN MC-1</t>
  </si>
  <si>
    <t>01.05.08.01</t>
  </si>
  <si>
    <t>01.05.08.01.01</t>
  </si>
  <si>
    <t>01.05.08.01.02</t>
  </si>
  <si>
    <t>01.05.08.02</t>
  </si>
  <si>
    <t>01.05.08.02.01</t>
  </si>
  <si>
    <t>01.05.08.02.02</t>
  </si>
  <si>
    <t>01.05.08.02.03</t>
  </si>
  <si>
    <t>01.05.08.02.04</t>
  </si>
  <si>
    <t>01.05.08.03</t>
  </si>
  <si>
    <t>01.05.08.03.01</t>
  </si>
  <si>
    <t>01.05.08.04</t>
  </si>
  <si>
    <t>01.05.08.04.01</t>
  </si>
  <si>
    <t>01.05.08.04.01.01</t>
  </si>
  <si>
    <t>01.05.08.04.01.02</t>
  </si>
  <si>
    <t>01.05.08.04.02</t>
  </si>
  <si>
    <t>MURO PANTALLA</t>
  </si>
  <si>
    <t>01.05.08.04.02.01</t>
  </si>
  <si>
    <t>01.05.08.04.02.02</t>
  </si>
  <si>
    <t>01.05.08.04.02.03</t>
  </si>
  <si>
    <t>01.05.08.05</t>
  </si>
  <si>
    <t>01.05.08.05.01</t>
  </si>
  <si>
    <t>01.05.08.06</t>
  </si>
  <si>
    <t>01.05.08.06.01</t>
  </si>
  <si>
    <t>CISTERNA PROYECTADA CP-02 (V = 62m3)</t>
  </si>
  <si>
    <t>01.06.01</t>
  </si>
  <si>
    <t>01.06.01.01</t>
  </si>
  <si>
    <t>01.06.01.01.01</t>
  </si>
  <si>
    <t>01.06.01.01.02</t>
  </si>
  <si>
    <t>01.06.01.01.03</t>
  </si>
  <si>
    <t>01.06.01.02</t>
  </si>
  <si>
    <t>01.06.01.02.01</t>
  </si>
  <si>
    <t>01.06.01.02.02</t>
  </si>
  <si>
    <t>Excavaciones terreno rocoso c/compresora hasta 1,00 m prof.(sin emplear explosivo)</t>
  </si>
  <si>
    <t>01.06.01.02.03</t>
  </si>
  <si>
    <t>01.06.01.02.04</t>
  </si>
  <si>
    <t>01.06.01.03</t>
  </si>
  <si>
    <t>01.06.01.03.01</t>
  </si>
  <si>
    <t>01.06.01.04</t>
  </si>
  <si>
    <t>01.06.01.04.01</t>
  </si>
  <si>
    <t>01.06.01.04.01.01</t>
  </si>
  <si>
    <t>01.06.01.04.01.02</t>
  </si>
  <si>
    <t>01.06.01.04.02</t>
  </si>
  <si>
    <t>01.06.01.04.02.01</t>
  </si>
  <si>
    <t>01.06.01.04.02.02</t>
  </si>
  <si>
    <t>01.06.01.04.02.03</t>
  </si>
  <si>
    <t>01.06.01.04.03</t>
  </si>
  <si>
    <t>01.06.01.04.03.01</t>
  </si>
  <si>
    <t>01.06.01.04.03.02</t>
  </si>
  <si>
    <t>01.06.01.04.03.03</t>
  </si>
  <si>
    <t>01.06.01.05</t>
  </si>
  <si>
    <t>01.06.01.05.01</t>
  </si>
  <si>
    <t>01.06.01.05.02</t>
  </si>
  <si>
    <t>01.06.01.05.03</t>
  </si>
  <si>
    <t>01.06.01.05.04</t>
  </si>
  <si>
    <t>01.06.01.05.05</t>
  </si>
  <si>
    <t>Tarrajeo rayado 1era capa con impermeabilizante en cielo raso interior C:A 1:5 e=5cm (Cemento P-I)</t>
  </si>
  <si>
    <t>01.06.01.05.06</t>
  </si>
  <si>
    <t>Tarrajeo frotachado 2da capa con impermeabilizante en cielo raso interior C:A 1:3 e=5mm (Cemento P-I)</t>
  </si>
  <si>
    <t>01.06.01.05.07</t>
  </si>
  <si>
    <t>01.06.01.06</t>
  </si>
  <si>
    <t>01.06.01.06.01</t>
  </si>
  <si>
    <t>01.06.01.06.02</t>
  </si>
  <si>
    <t>Marco y tapa de hierro dúctil DI=0,80 m con mecanismo de seguridad según especificación</t>
  </si>
  <si>
    <t>01.06.01.07</t>
  </si>
  <si>
    <t>01.06.01.07.01</t>
  </si>
  <si>
    <t>01.06.01.07.03</t>
  </si>
  <si>
    <t>01.06.01.08</t>
  </si>
  <si>
    <t>01.06.01.08.01</t>
  </si>
  <si>
    <t>01.06.02</t>
  </si>
  <si>
    <t>01.06.02.01</t>
  </si>
  <si>
    <t>01.06.02.01.01</t>
  </si>
  <si>
    <t>01.06.02.01.02</t>
  </si>
  <si>
    <t>01.06.02.01.03</t>
  </si>
  <si>
    <t>01.06.02.01.04</t>
  </si>
  <si>
    <t>01.06.02.02</t>
  </si>
  <si>
    <t>01.06.02.02.01</t>
  </si>
  <si>
    <t>01.06.02.02.02</t>
  </si>
  <si>
    <t>01.06.02.02.03</t>
  </si>
  <si>
    <t>01.06.02.02.04</t>
  </si>
  <si>
    <t>01.06.02.02.05</t>
  </si>
  <si>
    <t>01.06.02.02.06</t>
  </si>
  <si>
    <t>01.06.02.03</t>
  </si>
  <si>
    <t>01.06.02.03.01</t>
  </si>
  <si>
    <t>01.06.02.03.01.01</t>
  </si>
  <si>
    <t>01.06.02.03.01.02</t>
  </si>
  <si>
    <t>01.06.02.03.02</t>
  </si>
  <si>
    <t>01.06.02.03.02.01</t>
  </si>
  <si>
    <t>01.06.02.03.02.02</t>
  </si>
  <si>
    <t>01.06.02.03.03</t>
  </si>
  <si>
    <t>01.06.02.03.03.01</t>
  </si>
  <si>
    <t>01.06.02.03.03.02</t>
  </si>
  <si>
    <t>01.06.02.03.03.03</t>
  </si>
  <si>
    <t>01.06.02.03.04</t>
  </si>
  <si>
    <t>01.06.02.03.04.01</t>
  </si>
  <si>
    <t>01.06.02.03.04.02</t>
  </si>
  <si>
    <t>01.06.02.03.04.03</t>
  </si>
  <si>
    <t>01.06.02.03.05</t>
  </si>
  <si>
    <t>01.06.02.03.05.01</t>
  </si>
  <si>
    <t>01.06.02.03.05.02</t>
  </si>
  <si>
    <t>01.06.02.03.05.03</t>
  </si>
  <si>
    <t>01.06.02.03.06</t>
  </si>
  <si>
    <t>01.06.02.03.06.01</t>
  </si>
  <si>
    <t>01.06.02.03.06.02</t>
  </si>
  <si>
    <t>01.06.02.03.06.03</t>
  </si>
  <si>
    <t>01.06.02.04</t>
  </si>
  <si>
    <t>01.06.02.04.01</t>
  </si>
  <si>
    <t>01.06.02.04.02</t>
  </si>
  <si>
    <t>01.06.02.04.03</t>
  </si>
  <si>
    <t>01.06.02.04.04</t>
  </si>
  <si>
    <t>01.06.02.04.05</t>
  </si>
  <si>
    <t>01.06.02.04.06</t>
  </si>
  <si>
    <t>01.06.02.04.07</t>
  </si>
  <si>
    <t>01.06.02.04.08</t>
  </si>
  <si>
    <t>01.06.02.04.09</t>
  </si>
  <si>
    <t>01.06.02.04.10</t>
  </si>
  <si>
    <t>01.06.02.04.11</t>
  </si>
  <si>
    <t>01.06.02.04.12</t>
  </si>
  <si>
    <t>01.06.02.05</t>
  </si>
  <si>
    <t>01.06.02.05.01</t>
  </si>
  <si>
    <t>01.06.02.05.02</t>
  </si>
  <si>
    <t>01.06.02.06</t>
  </si>
  <si>
    <t>01.06.02.06.01</t>
  </si>
  <si>
    <t>01.06.02.06.02</t>
  </si>
  <si>
    <t>01.06.02.08</t>
  </si>
  <si>
    <t>01.06.02.08.01</t>
  </si>
  <si>
    <t>01.06.02.07.02</t>
  </si>
  <si>
    <t>01.06.02.07.03</t>
  </si>
  <si>
    <t>01.06.02.09</t>
  </si>
  <si>
    <t>01.06.02.09.01</t>
  </si>
  <si>
    <t>01.06.02.10</t>
  </si>
  <si>
    <t>01.06.02.09.02</t>
  </si>
  <si>
    <t>01.06.03</t>
  </si>
  <si>
    <t>01.06.03.01</t>
  </si>
  <si>
    <t>01.06.03.01.01</t>
  </si>
  <si>
    <t>01.06.03.01.02</t>
  </si>
  <si>
    <t>01.06.03.02</t>
  </si>
  <si>
    <t>01.06.03.02.01</t>
  </si>
  <si>
    <t>01.06.03.02.02</t>
  </si>
  <si>
    <t>01.06.03.02.03</t>
  </si>
  <si>
    <t>01.06.03.03</t>
  </si>
  <si>
    <t>01.06.03.03.01</t>
  </si>
  <si>
    <t>01.06.03.04</t>
  </si>
  <si>
    <t>01.06.03.04.01</t>
  </si>
  <si>
    <t>01.06.03.04.01.01</t>
  </si>
  <si>
    <t>01.06.03.04.01.02</t>
  </si>
  <si>
    <t>01.06.03.04.02</t>
  </si>
  <si>
    <t>01.06.03.04.02.01</t>
  </si>
  <si>
    <t>01.06.03.04.02.02</t>
  </si>
  <si>
    <t>01.06.03.04.02.03</t>
  </si>
  <si>
    <t>01.06.03.04.03</t>
  </si>
  <si>
    <t>01.06.03.04.03.01</t>
  </si>
  <si>
    <t>01.06.03.04.03.02</t>
  </si>
  <si>
    <t>01.06.03.04.03.03</t>
  </si>
  <si>
    <t>01.06.03.05</t>
  </si>
  <si>
    <t>01.06.03.05.01</t>
  </si>
  <si>
    <t>01.06.03.05.02</t>
  </si>
  <si>
    <t>01.06.03.05.03</t>
  </si>
  <si>
    <t>01.06.03.05.04</t>
  </si>
  <si>
    <t>01.06.03.06</t>
  </si>
  <si>
    <t>01.06.03.06.01</t>
  </si>
  <si>
    <t>01.06.03.06.02</t>
  </si>
  <si>
    <t>Tirador 1/4" para losa removable</t>
  </si>
  <si>
    <t>01.06.03.06.03</t>
  </si>
  <si>
    <t>01.06.03.06.04</t>
  </si>
  <si>
    <t>01.06.04</t>
  </si>
  <si>
    <t>01.06.04.01</t>
  </si>
  <si>
    <t>01.06.04.01.01</t>
  </si>
  <si>
    <t>01.06.04.01.02</t>
  </si>
  <si>
    <t>01.06.04.02</t>
  </si>
  <si>
    <t>01.06.04.02.01</t>
  </si>
  <si>
    <t>01.06.04.02.02</t>
  </si>
  <si>
    <t>01.06.04.02.03</t>
  </si>
  <si>
    <t>01.06.04.02.04</t>
  </si>
  <si>
    <t>01.06.04.03</t>
  </si>
  <si>
    <t>01.06.04.03.01</t>
  </si>
  <si>
    <t>01.06.04.03.02</t>
  </si>
  <si>
    <t>01.06.04.03.03</t>
  </si>
  <si>
    <t>01.06.04.03.04</t>
  </si>
  <si>
    <t>01.06.04.04</t>
  </si>
  <si>
    <t>01.06.04.04.01</t>
  </si>
  <si>
    <t>01.06.04.04.01.01</t>
  </si>
  <si>
    <t>01.06.04.04.01.02</t>
  </si>
  <si>
    <t>01.06.04.04.02</t>
  </si>
  <si>
    <t>01.06.04.04.02.01</t>
  </si>
  <si>
    <t>01.06.04.04.02.02</t>
  </si>
  <si>
    <t>01.06.04.04.02.03</t>
  </si>
  <si>
    <t>01.06.04.04.03</t>
  </si>
  <si>
    <t>01.06.04.04.03.01</t>
  </si>
  <si>
    <t>01.06.04.04.03.02</t>
  </si>
  <si>
    <t>01.06.04.04.03.03</t>
  </si>
  <si>
    <t>01.06.04.04.04</t>
  </si>
  <si>
    <t>01.06.04.04.04.01</t>
  </si>
  <si>
    <t>01.06.04.04.04.02</t>
  </si>
  <si>
    <t>01.06.04.04.04.03</t>
  </si>
  <si>
    <t>01.06.04.05</t>
  </si>
  <si>
    <t>01.06.04.05.01</t>
  </si>
  <si>
    <t>01.06.04.05.02</t>
  </si>
  <si>
    <t>01.06.04.05.03</t>
  </si>
  <si>
    <t>01.06.04.05.04</t>
  </si>
  <si>
    <t>01.06.04.05.05</t>
  </si>
  <si>
    <t>01.06.04.05.06</t>
  </si>
  <si>
    <t>01.06.04.05.07</t>
  </si>
  <si>
    <t>01.06.04.06</t>
  </si>
  <si>
    <t>01.06.04.06.01</t>
  </si>
  <si>
    <t>01.06.04.07</t>
  </si>
  <si>
    <t>01.06.04.07.01</t>
  </si>
  <si>
    <t>01.06.04.07.02</t>
  </si>
  <si>
    <t>01.06.04.09</t>
  </si>
  <si>
    <t>01.06.04.09.01</t>
  </si>
  <si>
    <t>01.06.04.08.02</t>
  </si>
  <si>
    <t>01.06.04.08.03</t>
  </si>
  <si>
    <t>01.06.04.10</t>
  </si>
  <si>
    <t>01.06.04.10.01</t>
  </si>
  <si>
    <t>01.06.04.11</t>
  </si>
  <si>
    <t>01.06.05</t>
  </si>
  <si>
    <t>01.06.05.01</t>
  </si>
  <si>
    <t>01.06.05.01.01</t>
  </si>
  <si>
    <t>01.06.05.01.02</t>
  </si>
  <si>
    <t>01.06.05.02</t>
  </si>
  <si>
    <t>01.06.05.02.01</t>
  </si>
  <si>
    <t>01.06.05.02.02</t>
  </si>
  <si>
    <t>01.06.05.02.03</t>
  </si>
  <si>
    <t>01.06.05.02.04</t>
  </si>
  <si>
    <t>01.06.05.03</t>
  </si>
  <si>
    <t>01.06.05.03.01</t>
  </si>
  <si>
    <t>01.06.05.03.02</t>
  </si>
  <si>
    <t>01.06.05.03.03</t>
  </si>
  <si>
    <t>01.06.05.03.04</t>
  </si>
  <si>
    <t>01.06.05.04</t>
  </si>
  <si>
    <t>01.06.05.04.01</t>
  </si>
  <si>
    <t>01.06.05.04.01.01</t>
  </si>
  <si>
    <t>01.06.05.04.01.02</t>
  </si>
  <si>
    <t>01.06.05.04.02</t>
  </si>
  <si>
    <t>01.06.05.04.02.01</t>
  </si>
  <si>
    <t>01.06.05.04.02.02</t>
  </si>
  <si>
    <t>01.06.05.04.02.03</t>
  </si>
  <si>
    <t>01.06.05.04.03</t>
  </si>
  <si>
    <t>01.06.05.04.03.01</t>
  </si>
  <si>
    <t>01.06.05.04.03.02</t>
  </si>
  <si>
    <t>01.06.05.04.03.03</t>
  </si>
  <si>
    <t>01.06.05.04.04</t>
  </si>
  <si>
    <t>01.06.05.04.04.01</t>
  </si>
  <si>
    <t>01.06.05.04.04.02</t>
  </si>
  <si>
    <t>01.06.05.04.04.03</t>
  </si>
  <si>
    <t>01.06.05.05</t>
  </si>
  <si>
    <t>01.06.05.05.01</t>
  </si>
  <si>
    <t>01.06.05.06</t>
  </si>
  <si>
    <t>01.06.05.06.01</t>
  </si>
  <si>
    <t>01.06.05.06.02</t>
  </si>
  <si>
    <t>01.06.05.06.03</t>
  </si>
  <si>
    <t>01.06.05.06.04</t>
  </si>
  <si>
    <t>01.06.05.06.05</t>
  </si>
  <si>
    <t>01.06.05.06.06</t>
  </si>
  <si>
    <t>01.06.05.06.07</t>
  </si>
  <si>
    <t>01.06.05.07</t>
  </si>
  <si>
    <t>01.06.05.07.01</t>
  </si>
  <si>
    <t>01.06.05.07.02</t>
  </si>
  <si>
    <t>01.06.05.07.03</t>
  </si>
  <si>
    <t>01.06.05.08</t>
  </si>
  <si>
    <t>01.06.05.08.01</t>
  </si>
  <si>
    <t>01.06.05.08.02</t>
  </si>
  <si>
    <t>01.06.05.10</t>
  </si>
  <si>
    <t>01.06.05.10.01</t>
  </si>
  <si>
    <t>01.06.05.09.02</t>
  </si>
  <si>
    <t>01.06.05.09.03</t>
  </si>
  <si>
    <t>01.06.05.11</t>
  </si>
  <si>
    <t>01.06.05.11.01</t>
  </si>
  <si>
    <t>01.06.05.12</t>
  </si>
  <si>
    <t>01.06.05.12.01</t>
  </si>
  <si>
    <t>01.06.05.12.02</t>
  </si>
  <si>
    <t>01.06.05.13</t>
  </si>
  <si>
    <t>01.06.05.13.01</t>
  </si>
  <si>
    <t>01.06.05.13.02</t>
  </si>
  <si>
    <t>01.06.05.13.03</t>
  </si>
  <si>
    <t>01.06.05.13.04</t>
  </si>
  <si>
    <t>01.06.05.13.05</t>
  </si>
  <si>
    <t>01.06.05.13.06</t>
  </si>
  <si>
    <t>01.06.05.13.07</t>
  </si>
  <si>
    <t>01.06.05.13.08</t>
  </si>
  <si>
    <t>01.06.05.14</t>
  </si>
  <si>
    <t>Codo de P.V.C.  45°  tipo unión roscada  DN  20</t>
  </si>
  <si>
    <t>01.06.05.13.09</t>
  </si>
  <si>
    <t>01.06.05.13.10</t>
  </si>
  <si>
    <t>01.06.05.13.11</t>
  </si>
  <si>
    <t>01.06.05.13.12</t>
  </si>
  <si>
    <t>01.06.05.13.13</t>
  </si>
  <si>
    <t>01.06.05.13.15</t>
  </si>
  <si>
    <t>01.06.05.13.16</t>
  </si>
  <si>
    <t>01.06.05.13.17</t>
  </si>
  <si>
    <t>01.06.05.13.18</t>
  </si>
  <si>
    <t>01.06.05.13.19</t>
  </si>
  <si>
    <t>01.06.05.13.20</t>
  </si>
  <si>
    <t>01.06.05.13.21</t>
  </si>
  <si>
    <t>01.06.05.13.22</t>
  </si>
  <si>
    <t>01.06.05.13.23</t>
  </si>
  <si>
    <t>01.06.05.13.24</t>
  </si>
  <si>
    <t>01.06.05.13.25</t>
  </si>
  <si>
    <t>01.06.05.13.26</t>
  </si>
  <si>
    <t>01.06.05.13.27</t>
  </si>
  <si>
    <t>01.06.05.13.28</t>
  </si>
  <si>
    <t>Caja de regist. alb. 24" x 24" c/tapa de concreto</t>
  </si>
  <si>
    <t>01.06.05.13.29</t>
  </si>
  <si>
    <t xml:space="preserve">RESERVORIO APOYADO MEJORADO RAE-01 </t>
  </si>
  <si>
    <t>01.07.01</t>
  </si>
  <si>
    <t>01.07.01.01</t>
  </si>
  <si>
    <t>01.07.01.01.01</t>
  </si>
  <si>
    <t>01.07.01.01.02</t>
  </si>
  <si>
    <t>01.07.01.02</t>
  </si>
  <si>
    <t>01.07.01.02.01</t>
  </si>
  <si>
    <t>01.07.01.02.02</t>
  </si>
  <si>
    <t>01.07.01.02.03</t>
  </si>
  <si>
    <t>01.07.01.02.04</t>
  </si>
  <si>
    <t>01.07.01.03</t>
  </si>
  <si>
    <t>01.07.01.03.01</t>
  </si>
  <si>
    <t>01.07.01.03.02</t>
  </si>
  <si>
    <t>01.07.01.03.03</t>
  </si>
  <si>
    <t>01.07.01.03.04</t>
  </si>
  <si>
    <t>01.07.01.04</t>
  </si>
  <si>
    <t>01.07.01.04.01</t>
  </si>
  <si>
    <t>01.07.01.04.01.01</t>
  </si>
  <si>
    <t>01.07.01.04.01.02</t>
  </si>
  <si>
    <t>01.07.01.04.02</t>
  </si>
  <si>
    <t>01.07.01.04.02.01</t>
  </si>
  <si>
    <t>01.07.01.04.02.02</t>
  </si>
  <si>
    <t>01.07.01.04.03</t>
  </si>
  <si>
    <t>01.07.01.04.03.01</t>
  </si>
  <si>
    <t>01.07.01.04.03.02</t>
  </si>
  <si>
    <t>01.07.01.04.03.03</t>
  </si>
  <si>
    <t>01.07.01.04.04</t>
  </si>
  <si>
    <t>01.07.01.04.04.01</t>
  </si>
  <si>
    <t>01.07.01.04.04.02</t>
  </si>
  <si>
    <t>01.07.01.04.04.03</t>
  </si>
  <si>
    <t>01.07.01.04.05</t>
  </si>
  <si>
    <t>01.07.01.04.05.01</t>
  </si>
  <si>
    <t>01.07.01.04.05.02</t>
  </si>
  <si>
    <t>01.07.01.04.05.03</t>
  </si>
  <si>
    <t>01.07.01.04.06</t>
  </si>
  <si>
    <t>01.07.01.04.06.01</t>
  </si>
  <si>
    <t>01.07.01.04.06.02</t>
  </si>
  <si>
    <t>01.07.01.04.06.03</t>
  </si>
  <si>
    <t>01.07.01.05</t>
  </si>
  <si>
    <t>01.07.01.05.01</t>
  </si>
  <si>
    <t>01.07.01.05.02</t>
  </si>
  <si>
    <t>01.07.01.05.03</t>
  </si>
  <si>
    <t>01.07.01.05.04</t>
  </si>
  <si>
    <t>01.07.01.05.05</t>
  </si>
  <si>
    <t>01.07.01.05.06</t>
  </si>
  <si>
    <t>01.07.01.05.07</t>
  </si>
  <si>
    <t>01.07.01.05.08</t>
  </si>
  <si>
    <t>01.07.01.05.09</t>
  </si>
  <si>
    <t>01.07.01.05.10</t>
  </si>
  <si>
    <t>01.07.01.05.11</t>
  </si>
  <si>
    <t>01.07.01.05.12</t>
  </si>
  <si>
    <t>01.07.01.06</t>
  </si>
  <si>
    <t>01.07.01.06.01</t>
  </si>
  <si>
    <t>01.07.01.06.02</t>
  </si>
  <si>
    <t>01.07.01.07</t>
  </si>
  <si>
    <t>01.07.01.07.01</t>
  </si>
  <si>
    <t>01.07.01.07.02</t>
  </si>
  <si>
    <t>01.07.01.09</t>
  </si>
  <si>
    <t>01.07.01.09.01</t>
  </si>
  <si>
    <t>01.07.01.08.02</t>
  </si>
  <si>
    <t>01.07.01.08.03</t>
  </si>
  <si>
    <t>01.07.01.10</t>
  </si>
  <si>
    <t>01.07.01.10.01</t>
  </si>
  <si>
    <t>01.07.01.11</t>
  </si>
  <si>
    <t>01.07.01.10.02</t>
  </si>
  <si>
    <t>LINEAS DE REBOSE</t>
  </si>
  <si>
    <t>01.08.01</t>
  </si>
  <si>
    <t>OBRAS PROVISIONALES EN LINEAS DE REBOSE</t>
  </si>
  <si>
    <t>01.08.01.01</t>
  </si>
  <si>
    <t>Cinta plástica señalizadora para límite  de seguridad de obra</t>
  </si>
  <si>
    <t>01.08.01.02</t>
  </si>
  <si>
    <t>Cerco de malla HDP de 1 m altura para límite de seguridad de obra</t>
  </si>
  <si>
    <t>01.08.01.03</t>
  </si>
  <si>
    <t>Tranquera tipo caballete de 2,40 x 1,20m p/señalaliz-protec.(prov. durante obra)</t>
  </si>
  <si>
    <t>01.08.01.04</t>
  </si>
  <si>
    <t>Puente de madera para pase peatonal sobre zanja s/d (prov. durante obra)</t>
  </si>
  <si>
    <t>01.08.01.05</t>
  </si>
  <si>
    <t>Puente de madera para pase vehicular sobre zanja s/d (prov. durante obra)</t>
  </si>
  <si>
    <t>01.08.02</t>
  </si>
  <si>
    <t>LINEAS DE REBOSE DEL RESERVORIO RAP-01</t>
  </si>
  <si>
    <t>01.08.02.01</t>
  </si>
  <si>
    <t>SUMINISTRO E INSTALACION DE TUBERIAS</t>
  </si>
  <si>
    <t>01.08.02.01.01</t>
  </si>
  <si>
    <t>Suministro e instalacion de tuberia PVC DN250mm en TR hasta 1.75m de profun.</t>
  </si>
  <si>
    <t>01.08.02.01.02</t>
  </si>
  <si>
    <t>Suministro e instalacion de tuberia PVC DN250mm en TR hasta 2.00m de profun.</t>
  </si>
  <si>
    <t>01.08.02.02</t>
  </si>
  <si>
    <t>BUZONES</t>
  </si>
  <si>
    <t>01.08.02.02.01</t>
  </si>
  <si>
    <t>Buzón I t. rocoso sin explosivo de 1,51  a 1,75 m prof. (encofrado interior) C-PV</t>
  </si>
  <si>
    <t>01.08.02.03</t>
  </si>
  <si>
    <t>PRUEBAS HIDRAULICAS Y DE RESISTENCIA</t>
  </si>
  <si>
    <t>01.08.02.03.01</t>
  </si>
  <si>
    <t>01.08.03</t>
  </si>
  <si>
    <t>LINEAS DE REBOSE DEL RESERVORIO RAP-02</t>
  </si>
  <si>
    <t>01.08.03.01</t>
  </si>
  <si>
    <t>CRUCES E INTERFERENCIAS ESPECIALES</t>
  </si>
  <si>
    <t>01.08.03.01.01</t>
  </si>
  <si>
    <t>Proteccion de cable eléctrico de media ò alta tensión</t>
  </si>
  <si>
    <t>01.08.03.02</t>
  </si>
  <si>
    <t>01.08.03.02.01</t>
  </si>
  <si>
    <t>Suministro e instalacion de tuberia PVC DN250mm en TNA hasta 1.75m de profun.</t>
  </si>
  <si>
    <t>01.08.03.02.02</t>
  </si>
  <si>
    <t>Suministro e instalacion de tuberia PVC DN250mm en TNA hasta 2.00m de profun.</t>
  </si>
  <si>
    <t>01.08.03.02.03</t>
  </si>
  <si>
    <t>Suministro e instalacion de tuberia PVC DN250mm en TSR hasta 1.75m de profun.</t>
  </si>
  <si>
    <t>01.08.03.02.04</t>
  </si>
  <si>
    <t>01.08.03.02.05</t>
  </si>
  <si>
    <t>01.08.03.03</t>
  </si>
  <si>
    <t>01.08.03.03.01</t>
  </si>
  <si>
    <t>Buzón I t. normal saturado a máqui. 1,51 a 1,75 m prof.(encof.exter.e inter) C-PV</t>
  </si>
  <si>
    <t>01.08.03.03.02</t>
  </si>
  <si>
    <t>Buzón I t. normal saturado a máqui. 2,01 a 2,50 m prof.(encof.exter.e inter) C-PV</t>
  </si>
  <si>
    <t>01.08.03.03.03</t>
  </si>
  <si>
    <t>Buzón I t. semiroca a maq. 1,51 a 1,75 m prof. (encof. exterior e interior) C-PV</t>
  </si>
  <si>
    <t>01.08.03.03.04</t>
  </si>
  <si>
    <t>01.08.03.04</t>
  </si>
  <si>
    <t>01.08.03.04.01</t>
  </si>
  <si>
    <t>01.08.03.05</t>
  </si>
  <si>
    <t>REPOSICIÓN DE PAVIMENTOS, DEMOLICIONES</t>
  </si>
  <si>
    <t>01.08.03.05.01</t>
  </si>
  <si>
    <t>Corte+rotura, ED y reposic. de pavimento rígido f'c 210 kg/cm2 de  e= 8"</t>
  </si>
  <si>
    <t>01.08.04</t>
  </si>
  <si>
    <t>LINEAS DE REBOSE DEL RESERVORIO CP-01</t>
  </si>
  <si>
    <t>01.08.04.01</t>
  </si>
  <si>
    <t>01.08.04.01.01</t>
  </si>
  <si>
    <t>Suministro e instalacion de tuberia PVC DN200mm en TR hasta 2.50m de profun.</t>
  </si>
  <si>
    <t>01.08.04.02</t>
  </si>
  <si>
    <t>EMPALMES</t>
  </si>
  <si>
    <t>01.08.04.02.01</t>
  </si>
  <si>
    <t>Empalmes de tuberías buzón existente en servicio</t>
  </si>
  <si>
    <t>01.08.05</t>
  </si>
  <si>
    <t>LINEAS DE REBOSE DEL RESERVORIO CP-02</t>
  </si>
  <si>
    <t>01.08.05.01</t>
  </si>
  <si>
    <t>01.08.05.01.01</t>
  </si>
  <si>
    <t>01.08.05.01.02</t>
  </si>
  <si>
    <t>01.08.05.02</t>
  </si>
  <si>
    <t>01.08.05.02.01</t>
  </si>
  <si>
    <t>01.08.05.03</t>
  </si>
  <si>
    <t>01.08.05.03.01</t>
  </si>
  <si>
    <t>EQUIPAMIENTO</t>
  </si>
  <si>
    <t>CP-01 CISTERNA</t>
  </si>
  <si>
    <t>02.01.01</t>
  </si>
  <si>
    <t>EQUIPAMIENTO HIDRUALICO</t>
  </si>
  <si>
    <t>02.01.01.01</t>
  </si>
  <si>
    <t>TUBERÍA DE INGRESO POR IMPULSIÓN A CP-01</t>
  </si>
  <si>
    <t>02.01.01.01.01</t>
  </si>
  <si>
    <t>Tubería de acero SCH-40 para red DN 400  incluye elemento unión + 1% desperdicio</t>
  </si>
  <si>
    <t>02.01.01.01.02</t>
  </si>
  <si>
    <t>Sensor de transductor de presion</t>
  </si>
  <si>
    <t>02.01.01.02.02</t>
  </si>
  <si>
    <t>Montaje de instalacion hidraulica de tubería de ingreso a CP-01</t>
  </si>
  <si>
    <t>02.01.01.02</t>
  </si>
  <si>
    <t>TUBERÍA PARA INSTALACIÓN DE BOMBEO</t>
  </si>
  <si>
    <t>02.01.01.02.01</t>
  </si>
  <si>
    <t>Tubería de acero SCH-40 para red DN 250  incluye elemento unión + 1% desperdicio</t>
  </si>
  <si>
    <t>02.01.01.02.03</t>
  </si>
  <si>
    <t>Brida de acero para soldar y empernar    DN  400</t>
  </si>
  <si>
    <t>02.01.01.02.04</t>
  </si>
  <si>
    <t>Brida de acero para soldar y empernar    DN  250</t>
  </si>
  <si>
    <t>02.01.01.02.05</t>
  </si>
  <si>
    <t>Brida de acero para soldar-rompe agua    DN  400</t>
  </si>
  <si>
    <t>02.01.01.02.06</t>
  </si>
  <si>
    <t>Perno de acero incluye tuerca para unir  bridas  DN  400</t>
  </si>
  <si>
    <t>02.01.01.02.07</t>
  </si>
  <si>
    <t>Perno de acero incluye tuerca para unir  bridas  DN  250</t>
  </si>
  <si>
    <t>02.01.01.02.08</t>
  </si>
  <si>
    <t>Empaquetadura de jebe enlonada  DN  400</t>
  </si>
  <si>
    <t>02.01.01.02.09</t>
  </si>
  <si>
    <t>Empaquetadura de jebe enlonada  DN  250</t>
  </si>
  <si>
    <t>02.01.01.02.10</t>
  </si>
  <si>
    <t>Codo de hierro dúctil de 45° (1/8)  2 bridas   PN 25  DN  400</t>
  </si>
  <si>
    <t>02.01.01.02.11</t>
  </si>
  <si>
    <t>Codo de hierro dúctil de 45° (1/8)  2 bridas   PN 25  DN  250</t>
  </si>
  <si>
    <t>02.01.01.02.12</t>
  </si>
  <si>
    <t>Codo de hierro dúctil de 22.5° (1/16)  2 bridas   PN 25  DN  400</t>
  </si>
  <si>
    <t>02.01.01.02.13</t>
  </si>
  <si>
    <t>Yee de hierro ductil con 3 bridas PN25 DN 400 x 400</t>
  </si>
  <si>
    <t>02.01.01.02.14</t>
  </si>
  <si>
    <t>Reducción hierro dúctil 2 bridas  PN 25  DN  400  a  250</t>
  </si>
  <si>
    <t>02.01.01.02.15</t>
  </si>
  <si>
    <t>Reducción hierro dúctil 2 bridas  PN 25  DN  250  a  150</t>
  </si>
  <si>
    <t>02.01.01.02.16</t>
  </si>
  <si>
    <t>Transicion brida campana de ho. ductil  PN 25  DN 400mm</t>
  </si>
  <si>
    <t>02.01.01.02.17</t>
  </si>
  <si>
    <t>Unión de desmontaje autoportante DN 400 mm</t>
  </si>
  <si>
    <t>02.01.01.02.18</t>
  </si>
  <si>
    <t>Unión de desmontaje autoportante DN 250 mm</t>
  </si>
  <si>
    <t>02.01.01.02.19</t>
  </si>
  <si>
    <t>Válvula mariposa BB DN  400  ho. dúctil  excént,asiento-eje acero inoxidable</t>
  </si>
  <si>
    <t>02.01.01.02.20</t>
  </si>
  <si>
    <t>Válvula mariposa BB DN  250  ho. dúctil  excént,asiento-eje acero inoxidable</t>
  </si>
  <si>
    <t>02.01.01.02.21</t>
  </si>
  <si>
    <t>Válvula mariposa BB DN   50  ho. dúctil  excént,asiento-eje acero inoxid.</t>
  </si>
  <si>
    <t>02.01.01.02.22</t>
  </si>
  <si>
    <t>Válvula control de bomba BB PN 25 DN 250 mm (control piloto, incl. retención y selenoide)</t>
  </si>
  <si>
    <t>02.01.01.02.23</t>
  </si>
  <si>
    <t>Válvula aire automática cuadruple efecto bridada PN 25 esfera de acero inoxidable DN  50</t>
  </si>
  <si>
    <t>02.01.01.02.24</t>
  </si>
  <si>
    <t>02.01.01.02.25</t>
  </si>
  <si>
    <t>Montaje de instalacion hidraulica de la tubería para instalación de bombeo CP-01</t>
  </si>
  <si>
    <t>02.01.01.03</t>
  </si>
  <si>
    <t>TUBERÍA DE ALIVIO (CP-01)</t>
  </si>
  <si>
    <t>02.01.01.03.01</t>
  </si>
  <si>
    <t>Tubería de acero SCH-40 para red DN 150  incluye elemento unión + 1% desperdicio</t>
  </si>
  <si>
    <t>02.01.01.03.02</t>
  </si>
  <si>
    <t>Montaje de instalacion hidraulica de tubería de alivio (CP-01)</t>
  </si>
  <si>
    <t>02.01.01.04</t>
  </si>
  <si>
    <t>TUBERÍA DE INSTALACIÓN REBOSE</t>
  </si>
  <si>
    <t>02.01.01.04.01</t>
  </si>
  <si>
    <t>02.01.01.04.02</t>
  </si>
  <si>
    <t>Montaje de instalacion hidraulica de línea de rebose (CP-01)</t>
  </si>
  <si>
    <t>02.01.01.05</t>
  </si>
  <si>
    <t>EQUIPAMIENTO ELECTROMECÁNICO</t>
  </si>
  <si>
    <t>02.01.01.05.01</t>
  </si>
  <si>
    <t>SUMINISTRO E INSTALACIÓN DE EQUIPOS MECÁNICOS Y ELÉCTRICOS</t>
  </si>
  <si>
    <t>02.01.01.05.01.01</t>
  </si>
  <si>
    <t>Suministro y montaje de electrobomba tipo turbina vertical CP-01</t>
  </si>
  <si>
    <t>02.01.01.05.01.02</t>
  </si>
  <si>
    <t>Suministro e instalacion de grupo generador 550 kva</t>
  </si>
  <si>
    <t>02.01.01.05.01.03</t>
  </si>
  <si>
    <t>Suministro y montaje de elevador de carga viga monorriel 2.5 ton</t>
  </si>
  <si>
    <t>02.01.01.05.01.04</t>
  </si>
  <si>
    <t>Suministro e instalacion de valvula anticipadora de onda DN 150 PN 25</t>
  </si>
  <si>
    <t>02.01.01.05.01.05</t>
  </si>
  <si>
    <t>Suministro e instalacion de valvulas de control de electrobomba DN 250 PN 25</t>
  </si>
  <si>
    <t>02.01.02</t>
  </si>
  <si>
    <t>EQUIPAMIENTO ELECTRICO</t>
  </si>
  <si>
    <t>02.01.02.01</t>
  </si>
  <si>
    <t>SALIDA PARA INSTALACIONES</t>
  </si>
  <si>
    <t>02.01.02.01.01</t>
  </si>
  <si>
    <t>Salida para luminaria en pared</t>
  </si>
  <si>
    <t>02.01.02.01.02</t>
  </si>
  <si>
    <t>Salida para centros de luz en techo</t>
  </si>
  <si>
    <t>02.01.02.01.03</t>
  </si>
  <si>
    <t>Salida para tomacorriente doble c/toma a tierra</t>
  </si>
  <si>
    <t>02.01.02.01.04</t>
  </si>
  <si>
    <t>Salida para tomacorriente doble adosable c/toma a tierra</t>
  </si>
  <si>
    <t>02.01.02.01.05</t>
  </si>
  <si>
    <t>Salida para toma trifasica visible</t>
  </si>
  <si>
    <t>02.01.02.01.06</t>
  </si>
  <si>
    <t>Salida para interruptor simple a prueba de agua empotrado (cajas, cableado, interruptor)</t>
  </si>
  <si>
    <t>02.01.02.01.07</t>
  </si>
  <si>
    <t>salida para interruptor doble a prueba de agua (cajas, cableado, interruptor)</t>
  </si>
  <si>
    <t>02.01.02.01.08</t>
  </si>
  <si>
    <t>Salida para interruptor conmutacion (cajas, cableado, interruptor)</t>
  </si>
  <si>
    <t>02.01.02.01.09</t>
  </si>
  <si>
    <t>Salida para caja de paso de fierro galvanizado 300 x 300 x 150</t>
  </si>
  <si>
    <t>02.01.02.01.10</t>
  </si>
  <si>
    <t>Salida para luz de emergencia</t>
  </si>
  <si>
    <t>02.01.02.02</t>
  </si>
  <si>
    <t>CANALES Y TUBERIAS</t>
  </si>
  <si>
    <t>02.01.02.02.01</t>
  </si>
  <si>
    <t>Tuberia Conduit EMT/ p alimetadores de 4"</t>
  </si>
  <si>
    <t>02.01.02.02.02</t>
  </si>
  <si>
    <t>Tuberia enterrada para alimentadores</t>
  </si>
  <si>
    <t>02.01.02.02.03</t>
  </si>
  <si>
    <t>Tuberia para sub alimentadores de 2"</t>
  </si>
  <si>
    <t>02.01.02.02.04</t>
  </si>
  <si>
    <t>Tuberia para sub alimentadores de 1 1/2"</t>
  </si>
  <si>
    <t>02.01.02.02.05</t>
  </si>
  <si>
    <t>Tuberia empotrada para tomacorrientes PVC SAP 1"</t>
  </si>
  <si>
    <t>02.01.02.02.06</t>
  </si>
  <si>
    <t>Tuberia empotrada para iluminacion PVC SAP 3/4"</t>
  </si>
  <si>
    <t>02.01.02.02.07</t>
  </si>
  <si>
    <t>Tuberia FoGo Conduit EMT para iluminacion 3/4"</t>
  </si>
  <si>
    <t>02.01.02.02.08</t>
  </si>
  <si>
    <t>Tuberia FoGo Conduit EMT para fuerza 1"</t>
  </si>
  <si>
    <t>02.01.02.02.09</t>
  </si>
  <si>
    <t>Tuberia enterrada para alumbrado exterior 1"</t>
  </si>
  <si>
    <t>02.01.02.02.10</t>
  </si>
  <si>
    <t>Bandeja metalica tipo malla electrozincado con aterramiento de 300x105</t>
  </si>
  <si>
    <t>02.01.02.03</t>
  </si>
  <si>
    <t>CONDUCTORES Y/O CABLES</t>
  </si>
  <si>
    <t>02.01.02.03.01</t>
  </si>
  <si>
    <t>Cable triple de Cu tipo N2XOH, 0.6/1 KV, 3x500mm2 p/generador</t>
  </si>
  <si>
    <t>02.01.02.03.02</t>
  </si>
  <si>
    <t>Cable triple de Cu tipo N2XOH, 0.6/1 KV, 3x500mm2</t>
  </si>
  <si>
    <t>02.01.02.03.03</t>
  </si>
  <si>
    <t>Cable triple de Cu tipo N2XOH, 0.6/1 KV, 3x120mm2</t>
  </si>
  <si>
    <t>02.01.02.03.04</t>
  </si>
  <si>
    <t>Cable triple de Cu tipo N2XOH, 0.6/1 KV, 3x16mm2</t>
  </si>
  <si>
    <t>02.01.02.03.05</t>
  </si>
  <si>
    <t>Cable triple de Cu tipo N2XOH, 0.6/1 KV, 3x10mm2</t>
  </si>
  <si>
    <t>02.01.02.03.06</t>
  </si>
  <si>
    <t>Cable triple de Cu tipo N2XOH, 0.6/1 KV, 3x6mm2</t>
  </si>
  <si>
    <t>02.01.02.03.07</t>
  </si>
  <si>
    <t>Cable unipolar de Cu tipo N2XOH, 0.6/1 KV, 3x120mm2 p/tierra</t>
  </si>
  <si>
    <t>02.01.02.03.08</t>
  </si>
  <si>
    <t>Cable unipolar de Cu tipo N2XOH, 0.6/1 KV, 3x70mm2 p/tierra</t>
  </si>
  <si>
    <t>02.01.02.03.09</t>
  </si>
  <si>
    <t>Cable unipolar de Cu tipo N2XOH, 0.6/1 KV, 3x10mm2 p/tierra</t>
  </si>
  <si>
    <t>02.01.02.03.10</t>
  </si>
  <si>
    <t>Cable unipolar de Cu tipo N2XOH, 0.6/1 KV, 3x4mm2 p/tierra</t>
  </si>
  <si>
    <t>02.01.02.03.11</t>
  </si>
  <si>
    <t>Cable unipolar de Cu tipo N2XOH, 0.6/1 KV, 3x10mm2 alumbrado exterior</t>
  </si>
  <si>
    <t>02.01.02.03.12</t>
  </si>
  <si>
    <t>Cable unipolar de Cu tipo NH80, 0.45/0.75 KV, 1x4mm2 alumbrado y tomacorrientes</t>
  </si>
  <si>
    <t>02.01.02.03.13</t>
  </si>
  <si>
    <t>Cable unipolar de Cu tipo NH80, 0.45/0.75 KV, 1x4mm2 alumbrado y tomacorrientes – tierra</t>
  </si>
  <si>
    <t>02.01.02.03.14</t>
  </si>
  <si>
    <t>Cable de cobre desnudo duro de 50 mm2    (7 alambres)</t>
  </si>
  <si>
    <t>02.01.02.04</t>
  </si>
  <si>
    <t>TABLEROS DE DISTRIBUCIÓN BT</t>
  </si>
  <si>
    <t>02.01.02.04.01</t>
  </si>
  <si>
    <t>Tablero de Distribucion de 24 polos para adosar</t>
  </si>
  <si>
    <t>02.01.02.04.02</t>
  </si>
  <si>
    <t>Tablero de Distribucion de 48 polos para adosar</t>
  </si>
  <si>
    <t>02.01.02.05</t>
  </si>
  <si>
    <t>EQUIPOS DE PROTECCIÓN Y MANIOBRA</t>
  </si>
  <si>
    <t>02.01.02.05.01</t>
  </si>
  <si>
    <t>Interruptor termomagnético de 3 polos    por  60 A</t>
  </si>
  <si>
    <t>02.01.02.05.02</t>
  </si>
  <si>
    <t>Interruptor termomagnético de 3 polos    por  32 A</t>
  </si>
  <si>
    <t>02.01.02.05.03</t>
  </si>
  <si>
    <t>Interruptor termomagnético de 3 polos    por  16 A</t>
  </si>
  <si>
    <t>02.01.02.05.04</t>
  </si>
  <si>
    <t>Interruptor termomagnético de 2 polos    por  16 A</t>
  </si>
  <si>
    <t>02.01.02.05.05</t>
  </si>
  <si>
    <t>Interruptor diferencial riel DIN 2 polos    por  16 A - 30A</t>
  </si>
  <si>
    <t>02.01.02.05.06</t>
  </si>
  <si>
    <t>Interruptor diferencial tripolar riel DIN 3 polos    por  16 A</t>
  </si>
  <si>
    <t>02.01.02.05.07</t>
  </si>
  <si>
    <t>Pararrayos PDC con dispositivo de cebado no radioactivo R=65mm</t>
  </si>
  <si>
    <t>02.01.02.06</t>
  </si>
  <si>
    <t>ARTEFACTO DE ILUMINACIÓN</t>
  </si>
  <si>
    <t>02.01.02.06.01</t>
  </si>
  <si>
    <t>Luminaria Hermetica industrial colgante LED 1X40 W</t>
  </si>
  <si>
    <t>02.01.02.06.02</t>
  </si>
  <si>
    <t>Luminaria tipo panel LED empotrada/adosable 1x40 W</t>
  </si>
  <si>
    <t>02.01.02.06.03</t>
  </si>
  <si>
    <t>Luminaria LED circular adosada de 1x18 W</t>
  </si>
  <si>
    <t>02.01.02.06.04</t>
  </si>
  <si>
    <t>02.01.02.06.05</t>
  </si>
  <si>
    <t>Equipo de luz emergencia 220VAC, 60Hz</t>
  </si>
  <si>
    <t>02.01.02.06.06</t>
  </si>
  <si>
    <t>Alumbrado exterior con luminaria LED 220W</t>
  </si>
  <si>
    <t>02.01.02.06.07</t>
  </si>
  <si>
    <t>Alumbrado exterior con doble luminaria LED 220W</t>
  </si>
  <si>
    <t>02.01.02.07</t>
  </si>
  <si>
    <t>02.01.02.07.01</t>
  </si>
  <si>
    <t>Excavaciones de hoyos para postes de 060x0.60x0.80m</t>
  </si>
  <si>
    <t>02.01.02.07.02</t>
  </si>
  <si>
    <t>Excavación de zanja para cableado subterraneo de 0.80x0.80m</t>
  </si>
  <si>
    <t>02.01.02.07.03</t>
  </si>
  <si>
    <t>Excavación en hoyos para puestas a tierra 0.90x0.90x2.50m</t>
  </si>
  <si>
    <t>02.01.02.07.04</t>
  </si>
  <si>
    <t>Eliminación de desmonte en terreno normal R=10 km con maquinaria</t>
  </si>
  <si>
    <t>02.01.02.08</t>
  </si>
  <si>
    <t>CONCRETO PARA INSTALACIONES ELÉCTRICAS</t>
  </si>
  <si>
    <t>02.01.02.08.01</t>
  </si>
  <si>
    <t>Bloque de concreto armado para cimentacion de grupo generador</t>
  </si>
  <si>
    <t>02.01.02.08.02</t>
  </si>
  <si>
    <t>Base de concreto f´c=210 kg/cm2, 60x60x80cm p/poste de F°G° 7 1/2" diam</t>
  </si>
  <si>
    <t>02.01.02.08.03</t>
  </si>
  <si>
    <t>Buzon electroducto de C°A° con tapa 0.45x0.45x0.60m</t>
  </si>
  <si>
    <t>02.01.02.08.04</t>
  </si>
  <si>
    <t>Canal buzon electroducto de C°A° para cableado con tapa 0.45x0.45x0.60cm</t>
  </si>
  <si>
    <t>02.01.02.08.05</t>
  </si>
  <si>
    <t>Suministro y montaje de poste de metalico de 9m</t>
  </si>
  <si>
    <t>02.01.02.09</t>
  </si>
  <si>
    <t>PUESTA A TIERRA</t>
  </si>
  <si>
    <t>02.01.02.09.01</t>
  </si>
  <si>
    <t>Suministro y montaje de puesto a tierra de BT</t>
  </si>
  <si>
    <t>02.01.02.10</t>
  </si>
  <si>
    <t>PRUEBAS Y PUESTA EN SERVICIO</t>
  </si>
  <si>
    <t>02.01.02.10.01</t>
  </si>
  <si>
    <t>Pruebas y puesta en servicio de la red de baja tension</t>
  </si>
  <si>
    <t>Glb</t>
  </si>
  <si>
    <t>02.01.02.11</t>
  </si>
  <si>
    <t>RED PRIMARIA</t>
  </si>
  <si>
    <t>02.01.02.11.01</t>
  </si>
  <si>
    <t>SUMINISTRO DE MATERIALES DE REDES PRIMARIAS</t>
  </si>
  <si>
    <t>02.01.02.11.01.01</t>
  </si>
  <si>
    <t>POSTES</t>
  </si>
  <si>
    <t>02.01.02.11.01.01.01</t>
  </si>
  <si>
    <t>Poste de concreto armado centrifugado de 13/400/180/375</t>
  </si>
  <si>
    <t>02.01.02.11.01.02</t>
  </si>
  <si>
    <t>ARMADO DE RED PRIMARIA</t>
  </si>
  <si>
    <t>02.01.02.11.01.02.01</t>
  </si>
  <si>
    <t>Armado trifasico de fin de linea para conductor autoportante - ATPB5</t>
  </si>
  <si>
    <t>02.01.02.11.01.03</t>
  </si>
  <si>
    <t>CONDUCTORES</t>
  </si>
  <si>
    <t>02.01.02.11.01.03.01</t>
  </si>
  <si>
    <t>Cable de energia unipolar tipo NA2XSA2Y de 35mm2</t>
  </si>
  <si>
    <t>02.01.02.11.01.03.02</t>
  </si>
  <si>
    <t>Conducto subterraneo unipolar 35mm2 - 18/30KV</t>
  </si>
  <si>
    <t>02.01.02.11.01.04</t>
  </si>
  <si>
    <t>ACCESORIO PARA CONDUCTORES</t>
  </si>
  <si>
    <t>02.01.02.11.01.04.01</t>
  </si>
  <si>
    <t>Grapa de suspension de aluminio para conductores entre 35mm2 - 240mm2 de 70KN</t>
  </si>
  <si>
    <t>02.01.02.11.01.04.02</t>
  </si>
  <si>
    <t>Grapa de anclaje tipo pistola de tres pernos para conductores de seccion 70 a 120mm2</t>
  </si>
  <si>
    <t>02.01.02.11.01.04.03</t>
  </si>
  <si>
    <t>Tuerca ojo D=16mm</t>
  </si>
  <si>
    <t>02.01.02.11.01.04.04</t>
  </si>
  <si>
    <t>Conector doble via al-al de dos pernos 16-120mm2</t>
  </si>
  <si>
    <t>02.01.02.11.01.05</t>
  </si>
  <si>
    <t>02.01.02.11.01.05.01</t>
  </si>
  <si>
    <t>Puesto a tierra</t>
  </si>
  <si>
    <t>02.01.02.11.01.06</t>
  </si>
  <si>
    <t>SECCIONADOR DE PARARRAYOS, TERMINACIONES Y ACCESORIIOS</t>
  </si>
  <si>
    <t>02.01.02.11.01.06.01</t>
  </si>
  <si>
    <t>Seccionador unipolar 27kv, 175 BIL. 100A, 10KA para operacion a 3500 m.s.n.m, con accesorios de montaje (polimerico)</t>
  </si>
  <si>
    <t>02.01.02.11.01.06.02</t>
  </si>
  <si>
    <t>Pararrayos 10.5KV, 175KV BIL para operacion a 3500 m.s.n.m, con accesorios de montaje (polimerico)</t>
  </si>
  <si>
    <t>02.01.02.11.01.06.03</t>
  </si>
  <si>
    <t>Fusible tipo expulsion tipo 3A</t>
  </si>
  <si>
    <t>02.01.02.11.01.06.04</t>
  </si>
  <si>
    <t>Terminacion unipolar esterior 18/30KV de 35mm2 tipo exterior, incluye terminal y accesorios de sujecion</t>
  </si>
  <si>
    <t>02.01.02.11.02</t>
  </si>
  <si>
    <t>MONTAJE ELECTROMECANICO DE REDES PRIMARIAS</t>
  </si>
  <si>
    <t>02.01.02.11.02.01</t>
  </si>
  <si>
    <t>OBRAS PRELIMINARES</t>
  </si>
  <si>
    <t>02.01.02.11.02.01.01</t>
  </si>
  <si>
    <t>Replanteo topográfico, ubicación de estructuras e ingeniería de detalle de las redes primarias incluye planos</t>
  </si>
  <si>
    <t>km</t>
  </si>
  <si>
    <t>02.01.02.11.02.01.02</t>
  </si>
  <si>
    <t>Elaboración, pago, gestión para el trámite de autorización de conexión de instalación nueva.</t>
  </si>
  <si>
    <t>glb</t>
  </si>
  <si>
    <t>02.01.02.11.02.02</t>
  </si>
  <si>
    <t>INSTALACION DE POSTES DE CONCRETO EN TERRENO NORMAL</t>
  </si>
  <si>
    <t>02.01.02.11.02.02.01</t>
  </si>
  <si>
    <t>Transporte de poste de 13 y 15m de almacén a punto de izaje</t>
  </si>
  <si>
    <t>02.01.02.11.02.02.02</t>
  </si>
  <si>
    <t>Excavación en terreno tipo I (arcilloso y conglomerado) postes de 13-15m</t>
  </si>
  <si>
    <t>02.01.02.11.02.02.03</t>
  </si>
  <si>
    <t>Izaje de poste de 13 y 15m</t>
  </si>
  <si>
    <t>02.01.02.11.02.02.04</t>
  </si>
  <si>
    <t>Cimentación con concreto ciclópeo de poste de 13 y 15m en terreno tipo I (arcilloso y conglomerado)</t>
  </si>
  <si>
    <t>02.01.02.11.02.03</t>
  </si>
  <si>
    <t>INSTALACION DE RETENIDAS EN TERRENO NORMAL</t>
  </si>
  <si>
    <t>02.01.02.11.02.03.01</t>
  </si>
  <si>
    <t>Excavación en terreno tipo I (arcilloso y conglomerado)</t>
  </si>
  <si>
    <t>02.01.02.11.02.03.02</t>
  </si>
  <si>
    <t>Instalación de retenida vertical y retenida vertical en Y</t>
  </si>
  <si>
    <t>02.01.02.11.02.03.03</t>
  </si>
  <si>
    <t>Relleno y compactación en terreno tipo I de retenida</t>
  </si>
  <si>
    <t>02.01.02.11.02.04</t>
  </si>
  <si>
    <t>INSTALACION DE PUESTA  A TIERRA</t>
  </si>
  <si>
    <t>02.01.02.11.02.04.01</t>
  </si>
  <si>
    <t>02.01.02.11.02.04.02</t>
  </si>
  <si>
    <t>Instalación de puesta a tierra tipo PAT-1</t>
  </si>
  <si>
    <t>02.01.02.11.02.04.03</t>
  </si>
  <si>
    <t>Relleno y compactación de puesta a tierra con material adecuado</t>
  </si>
  <si>
    <t>02.01.02.11.02.05</t>
  </si>
  <si>
    <t>MONTAJE DE ARMADOS</t>
  </si>
  <si>
    <t>02.01.02.11.02.05.01</t>
  </si>
  <si>
    <t>Instalación al poste de los pararrayos de 17-24KV incluye el conexionado a la red el suministro de cinta autofundente y</t>
  </si>
  <si>
    <t>02.01.02.11.02.05.02</t>
  </si>
  <si>
    <t>Montaje de armados ATPB5</t>
  </si>
  <si>
    <t>02.01.02.11.02.06</t>
  </si>
  <si>
    <t>SECCIONADORES - PARARRAYOS Y ACCESORIO</t>
  </si>
  <si>
    <t>02.01.02.11.02.06.01</t>
  </si>
  <si>
    <t>Instalación del kit de terminación unipolar exterior - interior 18/30KV incluye terminales y accesorios de sujeccion</t>
  </si>
  <si>
    <t>02.01.02.11.02.07</t>
  </si>
  <si>
    <t>MONTAJE DE CONDUCTORES</t>
  </si>
  <si>
    <t>02.01.02.11.02.07.01</t>
  </si>
  <si>
    <t>Tendido y puesta en flecha de conductor de NA2XSA2Y-S, 8.7/15KV-3-1x35mm, incluye fijación del cable en las grapas de su</t>
  </si>
  <si>
    <t>02.01.02.11.02.08</t>
  </si>
  <si>
    <t>TRABAJOS COMPLEMENTARIOS</t>
  </si>
  <si>
    <t>02.01.02.11.02.08.01</t>
  </si>
  <si>
    <t>Informe técnico sustentatorio para gestión de servidumbre (1 original+3copias) incl. levantamiento topográfico y presentacion digitalizada del expediente el costo incl. la gestión de servidumbre</t>
  </si>
  <si>
    <t>02.01.02.11.02.08.02</t>
  </si>
  <si>
    <t>Señalizaciones de estructuras, pintado de sombologias, codigos, toma de imagenes de cada uno de ellos (numeracion otorgada por ELSE, de acuerdo al instructivo del SID)</t>
  </si>
  <si>
    <t>02.01.02.11.02.08.03</t>
  </si>
  <si>
    <t>Instalación al poste seccionador CUT-OUT, 21-27KV, 150-175BIL con fusibles tipo chicote incl. el conexionado a la red, el suministro de cinta autofundente y vinilica</t>
  </si>
  <si>
    <t>02.01.02.11.02.08.04</t>
  </si>
  <si>
    <t>Montaje de armados DT-3 (PSEC-3)</t>
  </si>
  <si>
    <t>02.01.02.11.02.08.05</t>
  </si>
  <si>
    <t>Rotura de concreto y reposicion de veredas en instalacion de postes, retenidas y pat</t>
  </si>
  <si>
    <t>02.01.02.11.02.09</t>
  </si>
  <si>
    <t>02.01.02.11.02.09.01</t>
  </si>
  <si>
    <t>Pruebas y puesta en servicio de lineas primarias</t>
  </si>
  <si>
    <t>02.01.02.11.02.09.02</t>
  </si>
  <si>
    <t>Expediente tecnico final conforme a obra (1original+3copias) de lineas primarias, incl. la presentacion digitalizada de textos y planos en CD</t>
  </si>
  <si>
    <t>02.01.02.11.02.10</t>
  </si>
  <si>
    <t>TRANSPORTE</t>
  </si>
  <si>
    <t>02.01.02.11.02.10.01</t>
  </si>
  <si>
    <t>Transporte redes primarias</t>
  </si>
  <si>
    <t>02.01.02.12</t>
  </si>
  <si>
    <t>SUBESTACION DE DISTRIBUCION</t>
  </si>
  <si>
    <t>02.01.02.12.01</t>
  </si>
  <si>
    <t>SUMINISTRO DE MATERIALES DE SUBESTACIONES DE DISTRIBUCION</t>
  </si>
  <si>
    <t>02.01.02.12.01.01</t>
  </si>
  <si>
    <t>02.01.02.12.01.01.01</t>
  </si>
  <si>
    <t>Conductor de energia NYY unipolar 1x240mm2</t>
  </si>
  <si>
    <t>02.01.02.12.01.01.02</t>
  </si>
  <si>
    <t>Conductor subterraneo unipolar 35mm2 - 18/30KV</t>
  </si>
  <si>
    <t>02.01.02.12.01.01.03</t>
  </si>
  <si>
    <t>Conductor de cobre desnudo temple suave, seccion=25mm2 (24m)</t>
  </si>
  <si>
    <t>02.01.02.12.01.02</t>
  </si>
  <si>
    <t>ARMADOS DE SED</t>
  </si>
  <si>
    <t>02.01.02.12.01.02.01</t>
  </si>
  <si>
    <t>Armado trifasico para subestacion monopostes con DMS - ATSM-B</t>
  </si>
  <si>
    <t>02.01.02.12.01.02.02</t>
  </si>
  <si>
    <t>Base para Subestacion monoposte con DMS - BAMD</t>
  </si>
  <si>
    <t>02.01.02.12.01.02.03</t>
  </si>
  <si>
    <t>Palomilla para seccionador de subestacion en monoposte con DMS-PAMD</t>
  </si>
  <si>
    <t>02.01.02.12.01.03</t>
  </si>
  <si>
    <t>02.01.02.12.01.03.01</t>
  </si>
  <si>
    <t>Terminacion unipolar exterior 18/30KV de 35mm2 tipo exterior incl. terminal y accesorios de sujeccion</t>
  </si>
  <si>
    <t>02.01.02.12.01.03.02</t>
  </si>
  <si>
    <t>Terminales de conexion y union para cable de aluminio o cobre para seccion de 35mm2</t>
  </si>
  <si>
    <t>02.01.02.12.01.03.03</t>
  </si>
  <si>
    <t>Seccionador unipolar 25KV, 175BIL, 100A, 10KA. para operacion a 3500 m.s.n.m. con accesorios de montaje (polimerico)</t>
  </si>
  <si>
    <t>02.01.02.12.01.03.04</t>
  </si>
  <si>
    <t>Pararrayos 12KV 10KA, 175KV BIL</t>
  </si>
  <si>
    <t>02.01.02.12.01.03.05</t>
  </si>
  <si>
    <t>Fusible tipo expulsion tipo 5A</t>
  </si>
  <si>
    <t>02.01.02.12.01.03.06</t>
  </si>
  <si>
    <t>Conector doble via AL-AL de dos pernos 16-120mm2</t>
  </si>
  <si>
    <t>02.01.02.12.01.04</t>
  </si>
  <si>
    <t>TRANSFORMADORES</t>
  </si>
  <si>
    <t>02.01.02.12.01.04.01</t>
  </si>
  <si>
    <t>Transformador de distribucion trifasico en aceite 500KVA, 60HZ tension principal: 10-22.9KV tension secundaria en vacio: 460-231V, conexionado: DYN5, regulacion TAPS: 2x2.5% ONAN 3500 m.s.n.m.</t>
  </si>
  <si>
    <t>02.01.02.12.01.05</t>
  </si>
  <si>
    <t>TABLEROS DE DISTRIBUCION</t>
  </si>
  <si>
    <t>02.01.02.12.01.05.01</t>
  </si>
  <si>
    <t>Tablero de distribucion 3, 220V (con AP) tipo "A1" compuesto de caja de plancha de F°G° de 1/16" de 0.84x0.90x0.30m, incl. interruptores termomagneticos, acces. de conexionado</t>
  </si>
  <si>
    <t>02.01.02.12.01.06</t>
  </si>
  <si>
    <t>02.01.02.12.01.06.01</t>
  </si>
  <si>
    <t>02.01.02.12.02.01</t>
  </si>
  <si>
    <t>02.01.02.12.02.01.01</t>
  </si>
  <si>
    <t>Losa de concreto armado 2x1.80m2, base de transformador</t>
  </si>
  <si>
    <t>02.01.02.12.02.02</t>
  </si>
  <si>
    <t>INSTALACION DE TRANSFORMADORES</t>
  </si>
  <si>
    <t>02.01.02.12.02.02.01</t>
  </si>
  <si>
    <t>Instalacion al poste de los pararrayos de 21KV 10A incl. conexionado a la red, el suministro de cinta autofundente y vin</t>
  </si>
  <si>
    <t>02.01.02.12.02.02.02</t>
  </si>
  <si>
    <t>Instalacion de KIT de terminacion unipolar exterior-interior 18/30KV incl. terminales y acces. de sujeccion</t>
  </si>
  <si>
    <t>02.01.02.12.02.02.03</t>
  </si>
  <si>
    <t>Montaje de trafos de 50 y trafomix, tablero y conductores</t>
  </si>
  <si>
    <t>02.01.02.12.02.03</t>
  </si>
  <si>
    <t>INSTALACION  SECCIONADORES Y PARARRAYOS</t>
  </si>
  <si>
    <t>02.01.02.12.02.03.01</t>
  </si>
  <si>
    <t>Instalacion al poste seccionador CUT-OUT, 21-25KV, 175BIL con fusibles tipo chicote incl. el conexionado a la red, el suministro de cinta auto fundente y vinilica</t>
  </si>
  <si>
    <t>02.01.02.12.02.04</t>
  </si>
  <si>
    <t>02.01.02.12.02.04.01</t>
  </si>
  <si>
    <t>Excavacionen terreno tipo I (arcilloso y conglomerado)</t>
  </si>
  <si>
    <t>02.01.02.12.02.04.02</t>
  </si>
  <si>
    <t>02.01.02.12.02.04.03</t>
  </si>
  <si>
    <t>Relleno y compactacion de puesta a tierra con material adecuado</t>
  </si>
  <si>
    <t>02.01.02.12.02.05</t>
  </si>
  <si>
    <t>02.01.02.12.02.05.01</t>
  </si>
  <si>
    <t>Transporte subestacion de distribucion</t>
  </si>
  <si>
    <t>02.01.03</t>
  </si>
  <si>
    <t>AUTOMATIZACION</t>
  </si>
  <si>
    <t>02.01.03.01</t>
  </si>
  <si>
    <t>SUMINISTROS</t>
  </si>
  <si>
    <t>02.01.03.01.01</t>
  </si>
  <si>
    <t>Medidor caudal tubular BB con transmisor de señal analógica DN 400</t>
  </si>
  <si>
    <t>02.01.03.01.02</t>
  </si>
  <si>
    <t>Medidor de nivel submergible</t>
  </si>
  <si>
    <t>02.01.03.01.03</t>
  </si>
  <si>
    <t>Presostato</t>
  </si>
  <si>
    <t>02.01.03.01.04</t>
  </si>
  <si>
    <t>Medidor de presión</t>
  </si>
  <si>
    <t>02.01.03.01.05</t>
  </si>
  <si>
    <t>Sensor de Vibracion</t>
  </si>
  <si>
    <t>02.01.03.01.06</t>
  </si>
  <si>
    <t>Switch  de nivel</t>
  </si>
  <si>
    <t>02.01.03.01.07</t>
  </si>
  <si>
    <t>Sensor de inundacion</t>
  </si>
  <si>
    <t>02.01.03.01.08</t>
  </si>
  <si>
    <t>Sirena luminosa y sonora (YA), min 90db, alimentación 24Vdc</t>
  </si>
  <si>
    <t>02.01.03.01.09</t>
  </si>
  <si>
    <t>Detector de Intrusos</t>
  </si>
  <si>
    <t>02.01.03.01.10</t>
  </si>
  <si>
    <t>Radio-antena integrada 25dBi EPMP 500Mdps</t>
  </si>
  <si>
    <t>02.01.03.01.11</t>
  </si>
  <si>
    <t>Torre ventada pesada 36m (incl. base de concreto armado y accesorios de sujecion)</t>
  </si>
  <si>
    <t>02.01.03.02</t>
  </si>
  <si>
    <t>SIST. CALIDAD CP-01</t>
  </si>
  <si>
    <t>02.01.03.02.01</t>
  </si>
  <si>
    <t>Analizador de cloro sist. Calidad</t>
  </si>
  <si>
    <t>02.01.03.02.02</t>
  </si>
  <si>
    <t>Medidor de presion sist. Calidad</t>
  </si>
  <si>
    <t>02.01.03.03</t>
  </si>
  <si>
    <t>TABLEROS CP-01</t>
  </si>
  <si>
    <t>02.01.03.03.01</t>
  </si>
  <si>
    <t>Tablero General TA-G-CP-01</t>
  </si>
  <si>
    <t>02.01.03.03.02</t>
  </si>
  <si>
    <t>Tablero de Transferencia TTA-CP-01</t>
  </si>
  <si>
    <t>02.01.03.03.03</t>
  </si>
  <si>
    <t>Tablero de Control y Telemetria TCT-CP-01</t>
  </si>
  <si>
    <t>02.01.03.03.04</t>
  </si>
  <si>
    <t>Tablero arranque Bomba 1 TA-EB01-CP-01</t>
  </si>
  <si>
    <t>02.01.03.03.05</t>
  </si>
  <si>
    <t>Tablero arranque Bomba 2 TA-EB02-CP-01</t>
  </si>
  <si>
    <t>02.01.03.03.06</t>
  </si>
  <si>
    <t>Tablero arranque Bomba 3 TA-EB03-CP-01</t>
  </si>
  <si>
    <t>02.01.03.04</t>
  </si>
  <si>
    <t>TRABAJOS MECANICOS - ELECTRICOS</t>
  </si>
  <si>
    <t>02.01.03.04.01</t>
  </si>
  <si>
    <t>Bandeja de porta cable, colgado techo 200x100</t>
  </si>
  <si>
    <t>02.01.03.04.02</t>
  </si>
  <si>
    <t>Bandeja de porta cable, vertical, ciego  200x100</t>
  </si>
  <si>
    <t>02.01.03.04.03</t>
  </si>
  <si>
    <t>Bandeja de porta cable, colgado techo 100x100</t>
  </si>
  <si>
    <t>02.01.03.04.04</t>
  </si>
  <si>
    <t>Mont. y Conex. Electr. medidor de presion ingreso-CP-01</t>
  </si>
  <si>
    <t>02.01.03.04.05</t>
  </si>
  <si>
    <t>Conex. Electr. valvula de control de caudal-CP-01</t>
  </si>
  <si>
    <t>02.01.03.04.06</t>
  </si>
  <si>
    <t>Conex. Electr. medidor de flujo DN400mm remoto-CP-01</t>
  </si>
  <si>
    <t>02.01.03.04.07</t>
  </si>
  <si>
    <t>Entubado y conexionado elec. a tablero de control y camara de ingreso</t>
  </si>
  <si>
    <t>02.01.03.04.08</t>
  </si>
  <si>
    <t>Monta. y Conexio. elec. de medidor de nivel sumergible y switch nivel-CP-01</t>
  </si>
  <si>
    <t>02.01.03.04.09</t>
  </si>
  <si>
    <t>Monta. y Conexio. elec. de sensor de inundacion-CP-01</t>
  </si>
  <si>
    <t>02.01.03.04.10</t>
  </si>
  <si>
    <t>Monta. y Conexio. elec. de medidor de presion salida-CP-01</t>
  </si>
  <si>
    <t>02.01.03.04.11</t>
  </si>
  <si>
    <t>Monta. y Conexio. elec. de Sistema de calidad-CP-01</t>
  </si>
  <si>
    <t>02.01.03.04.12</t>
  </si>
  <si>
    <t>Monta. y Conexio. elec. de medidor de presion y presostato-CP-01</t>
  </si>
  <si>
    <t>02.01.03.04.13</t>
  </si>
  <si>
    <t>Monta. y Conexio. elec. de sensor de vibracion, bombas turbinas-CP-01</t>
  </si>
  <si>
    <t>02.01.03.04.14</t>
  </si>
  <si>
    <t>Conexio. elec. de valvula de control de bomba-CP-01</t>
  </si>
  <si>
    <t>02.01.03.04.15</t>
  </si>
  <si>
    <t>Entubado y conexionado elec. a sirena y sensor de movimiento-CP-01</t>
  </si>
  <si>
    <t>02.01.03.04.16</t>
  </si>
  <si>
    <t>Monta. y Conexio. elec. de Tablero de control TCT-CP-01</t>
  </si>
  <si>
    <t>02.01.03.04.17</t>
  </si>
  <si>
    <t>Monta. y Conexio. elec. de Tablero General TAG-CP-01</t>
  </si>
  <si>
    <t>02.01.03.04.18</t>
  </si>
  <si>
    <t>Monta. y Conexio. elec. de Tablero de Arranque de bomba 1 TA-EB01-CP-01</t>
  </si>
  <si>
    <t>02.01.03.04.19</t>
  </si>
  <si>
    <t>Monta. y Conexio. elec. de Tablero de Arranque de bomba 2 TA-EB02-CP-01</t>
  </si>
  <si>
    <t>02.01.03.04.20</t>
  </si>
  <si>
    <t>Monta. y Conexio. elec. de Tablero de Arranque de bomba 3 TA-EB03-CP-01</t>
  </si>
  <si>
    <t>02.01.03.04.21</t>
  </si>
  <si>
    <t>Monta. y Conexio. elec. de Tablero de Transferencia TTA-CP-01</t>
  </si>
  <si>
    <t>02.01.03.04.22</t>
  </si>
  <si>
    <t>Instalacion de Antena</t>
  </si>
  <si>
    <t>02.01.03.04.23</t>
  </si>
  <si>
    <t>Entubado y conexionado de Antena-CP-01</t>
  </si>
  <si>
    <t>02.01.03.04.24</t>
  </si>
  <si>
    <t>Montaje e instalacion torre ventada semi pesada 36m</t>
  </si>
  <si>
    <t>02.01.03.05</t>
  </si>
  <si>
    <t>PROGRAMACIÓN Y PUESTA EN MARCHA</t>
  </si>
  <si>
    <t>02.01.03.05.01</t>
  </si>
  <si>
    <t>Configuracion y Calibracion de Instrumentacion de Campo-CP-01</t>
  </si>
  <si>
    <t>02.01.03.05.02</t>
  </si>
  <si>
    <t>Programacion del controlador de Tablero de Control</t>
  </si>
  <si>
    <t>02.01.03.05.03</t>
  </si>
  <si>
    <t>Programacion de HM</t>
  </si>
  <si>
    <t>02.01.03.05.04</t>
  </si>
  <si>
    <t>Programacion de Equipo de comunicacion</t>
  </si>
  <si>
    <t>02.01.03.05.05</t>
  </si>
  <si>
    <t>Pruebas de funcionamiento integral-CP-01</t>
  </si>
  <si>
    <t>día</t>
  </si>
  <si>
    <t>02.01.03.05.06</t>
  </si>
  <si>
    <t>Capacitacion y Entrenamiento</t>
  </si>
  <si>
    <t>RESERVORIO RAP-02</t>
  </si>
  <si>
    <t>02.02.01</t>
  </si>
  <si>
    <t>02.02.01.01</t>
  </si>
  <si>
    <t>TUBERÍA DE INGRESO POR IMPULSIÓN A RAP-02</t>
  </si>
  <si>
    <t>02.02.01.01.01</t>
  </si>
  <si>
    <t>02.02.01.01.02</t>
  </si>
  <si>
    <t>Montaje de instalacion hidraulica de tubería de ingreso a RAP-02</t>
  </si>
  <si>
    <t>02.02.01.02</t>
  </si>
  <si>
    <t>TUBERÍA DE LIMPIA Y REBOSE DEL RAP-02</t>
  </si>
  <si>
    <t>02.02.01.02.01</t>
  </si>
  <si>
    <t>02.02.01.02.02</t>
  </si>
  <si>
    <t>Tubería de acero SCH-40 para red DN 300  incluye elemento unión + 1% desperdicio</t>
  </si>
  <si>
    <t>02.02.01.02.03</t>
  </si>
  <si>
    <t>02.02.01.02.04</t>
  </si>
  <si>
    <t>Brida de acero para soldar y empernar    DN  300</t>
  </si>
  <si>
    <t>02.02.01.02.05</t>
  </si>
  <si>
    <t>02.02.01.02.06</t>
  </si>
  <si>
    <t>Brida de acero para soldar-rompe agua    DN  300</t>
  </si>
  <si>
    <t>02.02.01.02.07</t>
  </si>
  <si>
    <t>02.02.01.02.08</t>
  </si>
  <si>
    <t>Perno de acero incluye tuerca para unir  bridas  DN  300</t>
  </si>
  <si>
    <t>02.02.01.02.09</t>
  </si>
  <si>
    <t>02.02.01.02.10</t>
  </si>
  <si>
    <t>Empaquetadura de jebe enlonada  DN  300</t>
  </si>
  <si>
    <t>02.02.01.02.11</t>
  </si>
  <si>
    <t>Codo de hierro dúctil de 90° (1/4)  2 bridas   PN 16 DN 400</t>
  </si>
  <si>
    <t>02.02.01.02.12</t>
  </si>
  <si>
    <t>Codo de hierro dúctil de 90° (1/4)  2 bridas   PN 16 DN 300</t>
  </si>
  <si>
    <t>02.02.01.02.13</t>
  </si>
  <si>
    <t>Codo de hierro dúctil de 45° (1/8)  2 bridas   PN 16  DN  400</t>
  </si>
  <si>
    <t>02.02.01.02.14</t>
  </si>
  <si>
    <t>Codo de hierro dúctil de 45° (1/8)  2 bridas   PN 16  DN  300</t>
  </si>
  <si>
    <t>02.02.01.02.15</t>
  </si>
  <si>
    <t>Tee de hierro dúctil con 3 bridas PN 16  DN  400  x  300</t>
  </si>
  <si>
    <t>02.02.01.02.16</t>
  </si>
  <si>
    <t>02.02.01.02.17</t>
  </si>
  <si>
    <t>02.02.01.02.18</t>
  </si>
  <si>
    <t>Montaje de instalacion hidraulica de línea de limpia y rebose del RAP-02</t>
  </si>
  <si>
    <t>02.02.01.03</t>
  </si>
  <si>
    <t>TUBERÍA DE ADUCCIÓN A MARGEN DERECHA DEL RAP-02</t>
  </si>
  <si>
    <t>02.02.01.03.01</t>
  </si>
  <si>
    <t>02.02.01.03.02</t>
  </si>
  <si>
    <t>Montaje de instalacion hidraulica de la tubería de aducción a margen derecha del RAP-02</t>
  </si>
  <si>
    <t>02.02.01.04</t>
  </si>
  <si>
    <t>TUBERÍA DE ADUCCIÓN A TANKARPATA DEL RAP-02</t>
  </si>
  <si>
    <t>02.02.01.04.01</t>
  </si>
  <si>
    <t>Tubería de acero SCH-40 para red DN 200  incluye elemento unión + 1% desperdicio</t>
  </si>
  <si>
    <t>02.02.01.04.02</t>
  </si>
  <si>
    <t>Montaje de instalacion hidraulica de la tubería de aducción a Tankarpata del RAP-02</t>
  </si>
  <si>
    <t>02.02.01.05</t>
  </si>
  <si>
    <t>SISTEMA DE VÁLVULA DE AIRE DEL RAP-02</t>
  </si>
  <si>
    <t>02.02.01.05.01</t>
  </si>
  <si>
    <t>Tubería de acero SCH-40 para red DN  50  incluye elemento unión + 1% desperdicio</t>
  </si>
  <si>
    <t>02.02.01.05.02</t>
  </si>
  <si>
    <t>Montaje de instalacion hidraulica del sistema de válvula de aire RAP-02</t>
  </si>
  <si>
    <t>02.02.01.06</t>
  </si>
  <si>
    <t>TUBERÍA DE SUCCIÓN DE BOMBAS (CP-02)</t>
  </si>
  <si>
    <t>02.02.01.06.01</t>
  </si>
  <si>
    <t>02.02.01.06.02</t>
  </si>
  <si>
    <t>Montaje de instalacion hidraulica de la tubería de succión de bombas (CP-02)</t>
  </si>
  <si>
    <t>02.02.01.07</t>
  </si>
  <si>
    <t>TUBERÍA DE SALIDA POR IMPULSIÓN A RAP-01 (CP-02)</t>
  </si>
  <si>
    <t>02.02.01.07.01</t>
  </si>
  <si>
    <t>02.02.01.07.02</t>
  </si>
  <si>
    <t>Montaje de instalacion hidraulica de tubería de salida por impulsión a RAP-01 (CP-02)</t>
  </si>
  <si>
    <t>02.02.01.08</t>
  </si>
  <si>
    <t>TUBERÍA DE ALIVIO (CP-02)</t>
  </si>
  <si>
    <t>02.02.01.08.01</t>
  </si>
  <si>
    <t>02.02.01.08.02</t>
  </si>
  <si>
    <t>Montaje de instalacion hidraulica de tubería de alivio (CP-02)</t>
  </si>
  <si>
    <t>02.02.01.09</t>
  </si>
  <si>
    <t>SISTEMA DE VÁLVULA DE AIRE DEL CP-02</t>
  </si>
  <si>
    <t>02.02.01.09.01</t>
  </si>
  <si>
    <t>02.02.01.09.02</t>
  </si>
  <si>
    <t>Montaje de instalacion hidraulica del sistema de válvula de aire del CP-02</t>
  </si>
  <si>
    <t>02.02.01.10</t>
  </si>
  <si>
    <t>02.02.01.10.01</t>
  </si>
  <si>
    <t>02.02.01.10.01.01</t>
  </si>
  <si>
    <t>Suministro y montaje de electrobomba tipo turbina vertical CP-02</t>
  </si>
  <si>
    <t>02.02.01.10.01.02</t>
  </si>
  <si>
    <t>Suministro e instalacion de grupo generador 150 kw</t>
  </si>
  <si>
    <t>02.02.01.10.01.03</t>
  </si>
  <si>
    <t>Suministro y montaje de elevador de carga viga monorriel 2.0 ton</t>
  </si>
  <si>
    <t>02.02.01.10.01.04</t>
  </si>
  <si>
    <t>Suministro e instalacion de valvula anticipadora de onda DN 65 PN 25</t>
  </si>
  <si>
    <t>02.02.01.10.01.05</t>
  </si>
  <si>
    <t>Suministro e instalacion de valvulas de control de electrobomba DN 200 PN 25</t>
  </si>
  <si>
    <t>02.02.02</t>
  </si>
  <si>
    <t>02.02.02.01</t>
  </si>
  <si>
    <t>02.02.02.01.01</t>
  </si>
  <si>
    <t>02.02.02.01.02</t>
  </si>
  <si>
    <t>02.02.02.01.03</t>
  </si>
  <si>
    <t>02.02.02.01.04</t>
  </si>
  <si>
    <t>02.02.02.01.05</t>
  </si>
  <si>
    <t>02.02.02.01.06</t>
  </si>
  <si>
    <t>02.02.02.01.07</t>
  </si>
  <si>
    <t>02.02.02.01.08</t>
  </si>
  <si>
    <t>02.02.02.02</t>
  </si>
  <si>
    <t>02.02.02.02.01</t>
  </si>
  <si>
    <t>Tuberia Conduit EMT/ p alimetadores de 3"</t>
  </si>
  <si>
    <t>02.02.02.02.02</t>
  </si>
  <si>
    <t>02.02.02.02.03</t>
  </si>
  <si>
    <t>Tuberia para sub alimentadores de 2 1/2"</t>
  </si>
  <si>
    <t>02.02.02.02.04</t>
  </si>
  <si>
    <t>02.02.02.02.05</t>
  </si>
  <si>
    <t>02.02.02.02.06</t>
  </si>
  <si>
    <t>02.02.02.02.07</t>
  </si>
  <si>
    <t>02.02.02.02.08</t>
  </si>
  <si>
    <t>02.02.02.02.09</t>
  </si>
  <si>
    <t>02.02.02.03</t>
  </si>
  <si>
    <t>02.02.02.03.01</t>
  </si>
  <si>
    <t>Cable triple de Cu tipo N2XOH, 0.6/1 KV, 3x95mm2</t>
  </si>
  <si>
    <t>02.02.02.03.02</t>
  </si>
  <si>
    <t>Cable triple de Cu tipo N2XOH, 0.6/1 KV, 3x70mm2</t>
  </si>
  <si>
    <t>02.02.02.03.03</t>
  </si>
  <si>
    <t>Cable triple de Cu tipo N2XOH, 0.6/1 KV, 3x50mm2</t>
  </si>
  <si>
    <t>02.02.02.03.04</t>
  </si>
  <si>
    <t>02.02.02.03.05</t>
  </si>
  <si>
    <t>02.02.02.03.06</t>
  </si>
  <si>
    <t>02.02.02.03.07</t>
  </si>
  <si>
    <t>Cable unipolar de Cu tipo N2XOH, 0.6/1 KV, 3x35mm2 p/tierra</t>
  </si>
  <si>
    <t>02.02.02.03.08</t>
  </si>
  <si>
    <t>02.02.02.03.09</t>
  </si>
  <si>
    <t>Cable unipolar de Cu tipo N2XOH, 0.6/1 KV, 3x6mm2 p/tierra</t>
  </si>
  <si>
    <t>02.02.02.03.10</t>
  </si>
  <si>
    <t>02.02.02.03.11</t>
  </si>
  <si>
    <t>02.02.02.03.12</t>
  </si>
  <si>
    <t>02.02.02.03.13</t>
  </si>
  <si>
    <t>02.02.02.03.14</t>
  </si>
  <si>
    <t>02.02.02.04</t>
  </si>
  <si>
    <t>02.02.02.04.01</t>
  </si>
  <si>
    <t>02.02.02.05</t>
  </si>
  <si>
    <t>02.02.02.05.01</t>
  </si>
  <si>
    <t>Interruptor termomagnético de 3 polos    por  50 A</t>
  </si>
  <si>
    <t>02.02.02.05.02</t>
  </si>
  <si>
    <t>02.02.02.05.03</t>
  </si>
  <si>
    <t>02.02.02.05.04</t>
  </si>
  <si>
    <t>Interruptor termomagnético riel de 2 polos    por  16 A</t>
  </si>
  <si>
    <t>02.02.02.05.05</t>
  </si>
  <si>
    <t>02.02.02.05.06</t>
  </si>
  <si>
    <t>02.02.02.05.07</t>
  </si>
  <si>
    <t>Interruptor termomagnético riel de 2 polos    por  20 A</t>
  </si>
  <si>
    <t>02.02.02.05.08</t>
  </si>
  <si>
    <t>Interruptor diferencial riel DIN 2 polos    por  20 A - 30A</t>
  </si>
  <si>
    <t>02.02.02.05.09</t>
  </si>
  <si>
    <t>02.02.02.06</t>
  </si>
  <si>
    <t>02.02.02.06.01</t>
  </si>
  <si>
    <t>02.02.02.06.02</t>
  </si>
  <si>
    <t>02.02.02.06.03</t>
  </si>
  <si>
    <t>02.02.02.06.04</t>
  </si>
  <si>
    <t>02.02.02.06.05</t>
  </si>
  <si>
    <t>02.02.02.06.06</t>
  </si>
  <si>
    <t>02.02.02.07</t>
  </si>
  <si>
    <t>02.02.02.07.01</t>
  </si>
  <si>
    <t>Excavacion de zanja para cableado subterraneo de 0.80x0.80m</t>
  </si>
  <si>
    <t>02.02.02.07.02</t>
  </si>
  <si>
    <t>02.02.02.07.03</t>
  </si>
  <si>
    <t>Excavacion en hoyos para puestas a tierra 0.90x0.90x2.50m</t>
  </si>
  <si>
    <t>02.02.02.07.04</t>
  </si>
  <si>
    <t>02.02.02.08</t>
  </si>
  <si>
    <t>02.02.02.08.01</t>
  </si>
  <si>
    <t>02.02.02.08.02</t>
  </si>
  <si>
    <t>02.02.02.08.03</t>
  </si>
  <si>
    <t>02.02.02.08.04</t>
  </si>
  <si>
    <t>02.02.02.08.05</t>
  </si>
  <si>
    <t>02.02.02.09</t>
  </si>
  <si>
    <t>02.02.02.09.01</t>
  </si>
  <si>
    <t>02.02.02.10</t>
  </si>
  <si>
    <t>02.02.02.10.01</t>
  </si>
  <si>
    <t>02.02.02.11</t>
  </si>
  <si>
    <t>02.02.02.11.01</t>
  </si>
  <si>
    <t>02.02.02.11.01.01</t>
  </si>
  <si>
    <t>02.02.02.11.01.01.01</t>
  </si>
  <si>
    <t>Poste de concreto armado centrifugado de 13/300/180/375</t>
  </si>
  <si>
    <t>02.02.02.11.01.01.02</t>
  </si>
  <si>
    <t>02.02.02.11.01.01.03</t>
  </si>
  <si>
    <t>Poste de concreto armado centrifugado de 9/300/180/375</t>
  </si>
  <si>
    <t>02.02.02.11.01.02</t>
  </si>
  <si>
    <t>02.02.02.11.01.02.01</t>
  </si>
  <si>
    <t>Armado trifasico de fin de linea  - AT5</t>
  </si>
  <si>
    <t>02.02.02.11.01.02.02</t>
  </si>
  <si>
    <t>Armado trifasico de fin de linea  - AT3</t>
  </si>
  <si>
    <t>02.02.02.11.01.03</t>
  </si>
  <si>
    <t>02.02.02.11.01.03.01</t>
  </si>
  <si>
    <t>Cable de alineacion de alimunio AAAC de tension 50 mm2, 7 hilos</t>
  </si>
  <si>
    <t>02.02.02.11.01.03.02</t>
  </si>
  <si>
    <t>Conducto de energia NYY unipolar 1x70mm22</t>
  </si>
  <si>
    <t>02.02.02.11.01.03.03</t>
  </si>
  <si>
    <t>Conducto cobre desnudo temple suevae, seccion 25mm2</t>
  </si>
  <si>
    <t>02.02.02.11.01.04</t>
  </si>
  <si>
    <t>AISLADORES</t>
  </si>
  <si>
    <t>02.02.02.11.01.04.01</t>
  </si>
  <si>
    <t>Aislador de porcelana Tipo PIN Clase ANSI-56-3</t>
  </si>
  <si>
    <t>02.02.02.11.01.04.02</t>
  </si>
  <si>
    <t>Aislador polimerico tipo suspension de Longitud 430mm, 25 kV</t>
  </si>
  <si>
    <t>02.02.02.11.01.05</t>
  </si>
  <si>
    <t>02.02.02.11.01.05.01</t>
  </si>
  <si>
    <t>Espiga para cruceta L=203+178 mm, D=28,6 mm, dr=35 mm, para aislador pin ansi 56-3 C/T/C/A/AP</t>
  </si>
  <si>
    <t>02.02.02.11.01.05.02</t>
  </si>
  <si>
    <t>Grillete de anclaje tipo recto D=16 mm, c/pasador de seguridad</t>
  </si>
  <si>
    <t>02.02.02.11.01.05.03</t>
  </si>
  <si>
    <t>Soporte separador para espiga de vértice L=110 mm</t>
  </si>
  <si>
    <t>02.02.02.11.01.05.04</t>
  </si>
  <si>
    <t>Soporte separador para aislador tipo PIN</t>
  </si>
  <si>
    <t>02.02.02.11.01.06</t>
  </si>
  <si>
    <t>02.02.02.11.01.06.01</t>
  </si>
  <si>
    <t>Grapa de anclaje tipo pistola de dos pernos para conductores de seccion 16 a 50mm2</t>
  </si>
  <si>
    <t>02.02.02.11.01.06.02</t>
  </si>
  <si>
    <t>02.02.02.11.01.06.03</t>
  </si>
  <si>
    <t>02.02.02.11.01.06.04</t>
  </si>
  <si>
    <t>Cinta planta de armar de aluminio</t>
  </si>
  <si>
    <t>02.02.02.11.01.06.05</t>
  </si>
  <si>
    <t>Varilla de armar preformada simple de AL de 1117mm, 8 hilos para condusctor de al 35mm2</t>
  </si>
  <si>
    <t>02.02.02.11.01.07</t>
  </si>
  <si>
    <t>RETENIDA MT</t>
  </si>
  <si>
    <t>02.02.02.11.01.07.01</t>
  </si>
  <si>
    <t>Retenida inclinada aislada - ARI – A</t>
  </si>
  <si>
    <t>02.02.02.11.01.08</t>
  </si>
  <si>
    <t>02.02.02.11.01.08.01</t>
  </si>
  <si>
    <t>02.02.02.11.01.09</t>
  </si>
  <si>
    <t>02.02.02.11.01.09.01</t>
  </si>
  <si>
    <t>02.02.02.11.01.09.02</t>
  </si>
  <si>
    <t>02.02.02.11.01.09.03</t>
  </si>
  <si>
    <t>02.02.02.11.02</t>
  </si>
  <si>
    <t>02.02.02.11.02.01</t>
  </si>
  <si>
    <t>02.02.02.11.02.01.01</t>
  </si>
  <si>
    <t>Elaboracion, pago, gestion para el tramite de autorización de conexión de instalación nueva.</t>
  </si>
  <si>
    <t>02.02.02.11.02.02</t>
  </si>
  <si>
    <t>02.02.02.11.02.02.01</t>
  </si>
  <si>
    <t>Replanteo topografico, ubicacion de estructuras e ingenieria de detalle de las redes primarias, incl. elaboracion de planos</t>
  </si>
  <si>
    <t>02.02.02.11.02.02.02</t>
  </si>
  <si>
    <t>Transporte de poste de 13 y 15m de almacen a punto de izaje</t>
  </si>
  <si>
    <t>02.02.02.11.02.02.03</t>
  </si>
  <si>
    <t>Excavacionen terreno tipo I (arcilloso y conglomerado) postes de 13-15m</t>
  </si>
  <si>
    <t>02.02.02.11.02.02.04</t>
  </si>
  <si>
    <t>02.02.02.11.02.02.05</t>
  </si>
  <si>
    <t>Cimentacion con concreto ciclopeo de poste de 13 y 15m en terreno tipo I (arcilloso y conglomerado)</t>
  </si>
  <si>
    <t>02.02.02.11.02.03</t>
  </si>
  <si>
    <t>02.02.02.11.02.03.01</t>
  </si>
  <si>
    <t>02.02.02.11.02.03.02</t>
  </si>
  <si>
    <t>02.02.02.11.02.03.03</t>
  </si>
  <si>
    <t>Relleno y compactacion en terreno tipo I de retenida</t>
  </si>
  <si>
    <t>02.02.02.11.02.04</t>
  </si>
  <si>
    <t>02.02.02.11.02.04.01</t>
  </si>
  <si>
    <t>02.02.02.11.02.04.02</t>
  </si>
  <si>
    <t>02.02.02.11.02.04.03</t>
  </si>
  <si>
    <t>02.02.02.11.02.05</t>
  </si>
  <si>
    <t>02.02.02.11.02.05.01</t>
  </si>
  <si>
    <t>02.02.02.11.02.05.02</t>
  </si>
  <si>
    <t>Montaje de armados AT3</t>
  </si>
  <si>
    <t>02.02.02.11.02.05.03</t>
  </si>
  <si>
    <t>Montaje de armados AT5</t>
  </si>
  <si>
    <t>02.02.02.11.02.05.04</t>
  </si>
  <si>
    <t>Montaje de armados PSEC-3</t>
  </si>
  <si>
    <t>02.02.02.11.02.06</t>
  </si>
  <si>
    <t>02.02.02.11.02.06.01</t>
  </si>
  <si>
    <t>Instalacion al poste seccionador CUT-OUT, 21-27KV, 150-175BIL con fusibles tipo chicote incl. el conexionado a la red,</t>
  </si>
  <si>
    <t>02.02.02.11.02.06.02</t>
  </si>
  <si>
    <t>02.02.02.11.02.07</t>
  </si>
  <si>
    <t>02.02.02.11.02.07.01</t>
  </si>
  <si>
    <t>Tendido y puesta en flecha de conductor de aleacion de aluminio de 50mm2por fase incl. de amortiguador</t>
  </si>
  <si>
    <t>02.02.02.11.02.08</t>
  </si>
  <si>
    <t>02.02.02.11.02.08.01</t>
  </si>
  <si>
    <t>Informe tecnico sustentatorio para gestion de servidumbre (1 original+3copias) incl. levantamiento topografico y presentacion digitalizada del expediente el costo incl. la gestion de servidumbre</t>
  </si>
  <si>
    <t>02.02.02.11.02.08.02</t>
  </si>
  <si>
    <t>02.02.02.11.02.09</t>
  </si>
  <si>
    <t>02.02.02.11.02.09.01</t>
  </si>
  <si>
    <t>02.02.02.11.02.09.02</t>
  </si>
  <si>
    <t>02.02.02.11.02.10</t>
  </si>
  <si>
    <t>02.02.02.11.02.10.01</t>
  </si>
  <si>
    <t>02.02.02.12</t>
  </si>
  <si>
    <t>02.02.02.12.01</t>
  </si>
  <si>
    <t>02.02.02.12.01.01</t>
  </si>
  <si>
    <t>02.02.02.12.01.01.01</t>
  </si>
  <si>
    <t>02.02.02.12.01.01.02</t>
  </si>
  <si>
    <t>02.02.02.12.01.01.03</t>
  </si>
  <si>
    <t>02.02.02.12.01.02</t>
  </si>
  <si>
    <t>02.02.02.12.01.02.01</t>
  </si>
  <si>
    <t>Armado trifasico para medicion en monoposte</t>
  </si>
  <si>
    <t>02.02.02.12.01.02.02</t>
  </si>
  <si>
    <t>Base para Subestacion monoposte BAM</t>
  </si>
  <si>
    <t>02.02.02.12.01.02.03</t>
  </si>
  <si>
    <t>Base para Subestacion biposte BAB</t>
  </si>
  <si>
    <t>02.02.02.12.01.02.04</t>
  </si>
  <si>
    <t>Palomilla para seccionador de subestacion en biposte PAB</t>
  </si>
  <si>
    <t>02.02.02.12.01.02.05</t>
  </si>
  <si>
    <t>02.02.02.12.01.03</t>
  </si>
  <si>
    <t>02.02.02.12.01.03.01</t>
  </si>
  <si>
    <t>02.02.02.12.01.03.02</t>
  </si>
  <si>
    <t>Pararrayos 21KV, 10KA, 175KV BIL para operacion a 3500 m.s.n.m, con accesorios de montaje (polimerico)</t>
  </si>
  <si>
    <t>02.02.02.12.01.03.03</t>
  </si>
  <si>
    <t>02.02.02.12.01.03.04</t>
  </si>
  <si>
    <t>02.02.02.12.01.04</t>
  </si>
  <si>
    <t>02.02.02.12.01.04.01</t>
  </si>
  <si>
    <t>Transformador de distribucion trifasico en aceite 160KVA, 60HZ, 10-22,900 V/380-220V, DYN5, ONAN, 4000 msnm, exterior, equipado con todos sus accesorios</t>
  </si>
  <si>
    <t>02.02.02.12.01.05</t>
  </si>
  <si>
    <t>02.02.02.12.01.05.01</t>
  </si>
  <si>
    <t>02.02.02.12.01.06</t>
  </si>
  <si>
    <t>02.02.02.12.01.06.01</t>
  </si>
  <si>
    <t>02.02.02.12.02</t>
  </si>
  <si>
    <t>MONTAJE ELECTROMECANICO DE SUBESTACIONESDE DISTRIBUCION</t>
  </si>
  <si>
    <t>02.02.02.12.02.01</t>
  </si>
  <si>
    <t>02.02.02.12.02.01.01</t>
  </si>
  <si>
    <t>Montaje de armados ATSM-B</t>
  </si>
  <si>
    <t>02.02.02.12.02.01.02</t>
  </si>
  <si>
    <t>Montaje de armados BAMD</t>
  </si>
  <si>
    <t>02.02.02.12.02.01.03</t>
  </si>
  <si>
    <t>Montaje de armados PAMD</t>
  </si>
  <si>
    <t>02.02.02.12.02.02</t>
  </si>
  <si>
    <t>02.02.02.12.02.02.01</t>
  </si>
  <si>
    <t>Montaje de trafos de 160KVA, tablero y conductores</t>
  </si>
  <si>
    <t>02.02.02.12.02.03</t>
  </si>
  <si>
    <t>02.02.02.12.02.03.01</t>
  </si>
  <si>
    <t>02.02.02.12.02.03.02</t>
  </si>
  <si>
    <t>02.02.02.12.02.04</t>
  </si>
  <si>
    <t>02.02.02.12.02.04.01</t>
  </si>
  <si>
    <t>02.02.02.12.02.04.02</t>
  </si>
  <si>
    <t>02.02.02.12.02.04.03</t>
  </si>
  <si>
    <t>02.02.02.12.02.05</t>
  </si>
  <si>
    <t>02.02.02.12.02.05.01</t>
  </si>
  <si>
    <t>02.02.03</t>
  </si>
  <si>
    <t>02.02.03.01</t>
  </si>
  <si>
    <t>RAP-02-RESERVORIO DE REBOMBEO</t>
  </si>
  <si>
    <t>02.02.03.01.01</t>
  </si>
  <si>
    <t>02.02.03.01.01.01</t>
  </si>
  <si>
    <t>Medidor caudal tubular BB con transmisor de señal analógica PN25 DN 200</t>
  </si>
  <si>
    <t>02.02.03.01.01.02</t>
  </si>
  <si>
    <t>02.02.03.01.01.03</t>
  </si>
  <si>
    <t>02.02.03.01.01.04</t>
  </si>
  <si>
    <t>02.02.03.01.01.05</t>
  </si>
  <si>
    <t>02.02.03.01.01.06</t>
  </si>
  <si>
    <t>02.02.03.01.01.07</t>
  </si>
  <si>
    <t>02.02.03.01.01.08</t>
  </si>
  <si>
    <t>02.02.03.01.01.09</t>
  </si>
  <si>
    <t>02.02.03.01.01.10</t>
  </si>
  <si>
    <t>Torre ventada pesada 30m (incl. base de concreto armado y accesorios de sujecion)</t>
  </si>
  <si>
    <t>02.02.03.01.02</t>
  </si>
  <si>
    <t>TABLEROS RAP-02</t>
  </si>
  <si>
    <t>02.02.03.01.02.01</t>
  </si>
  <si>
    <t>Tablero General TA-G-RAP02</t>
  </si>
  <si>
    <t>02.02.03.01.02.02</t>
  </si>
  <si>
    <t>Tablero de Transferencia TTA-RAP02</t>
  </si>
  <si>
    <t>02.02.03.01.02.03</t>
  </si>
  <si>
    <t>Tablero de Control y Telemetria TC1-RAP02</t>
  </si>
  <si>
    <t>02.02.03.01.02.04</t>
  </si>
  <si>
    <t>Tablero arranque Bomba 1 TA-EB01-RAP02</t>
  </si>
  <si>
    <t>02.02.03.01.02.05</t>
  </si>
  <si>
    <t>Tablero arranque Bomba 2 TA-EB02-RAP02</t>
  </si>
  <si>
    <t>02.02.03.01.03</t>
  </si>
  <si>
    <t>02.02.03.01.03.01</t>
  </si>
  <si>
    <t>02.02.03.01.03.02</t>
  </si>
  <si>
    <t>02.02.03.01.03.03</t>
  </si>
  <si>
    <t>Mont. y Conex. Electr. medidor de presion ingreso y presostato-RAP02</t>
  </si>
  <si>
    <t>02.02.03.01.03.04</t>
  </si>
  <si>
    <t>Monta. y Conexio. elec. de sensor de vibracion, bombas turbinas-RAP02</t>
  </si>
  <si>
    <t>02.02.03.01.03.05</t>
  </si>
  <si>
    <t>Conexio. elec. de valvula de control de bomba-RAP02</t>
  </si>
  <si>
    <t>02.02.03.01.03.06</t>
  </si>
  <si>
    <t>Monta. y Conexio. elec. de medidor de presion salida-RAP02</t>
  </si>
  <si>
    <t>02.02.03.01.03.07</t>
  </si>
  <si>
    <t>Monta. y Conexio. elec. de Switch de nivel-RAP02</t>
  </si>
  <si>
    <t>02.02.03.01.03.08</t>
  </si>
  <si>
    <t>Conex. Electr. medidor de flujo DN200mm remoto-RAP02</t>
  </si>
  <si>
    <t>02.02.03.01.03.09</t>
  </si>
  <si>
    <t>Monta. y Conexio. elec. de sensor de inundacion-RAP02</t>
  </si>
  <si>
    <t>02.02.03.01.03.10</t>
  </si>
  <si>
    <t>Monta. y Conexio. elec. de Tablero de control TCT-RAP02</t>
  </si>
  <si>
    <t>02.02.03.01.03.11</t>
  </si>
  <si>
    <t>Monta. y Conexio. elec. de Tablero General TAG-RAP02</t>
  </si>
  <si>
    <t>02.02.03.01.03.12</t>
  </si>
  <si>
    <t>Monta. y Conexio. elec. de Tablero de Arranque de bomba 1 TA-EB01-RAP02</t>
  </si>
  <si>
    <t>02.02.03.01.03.13</t>
  </si>
  <si>
    <t>Monta. y Conexio. elec. de Tablero de Arranque de bomba 2 TA-EB02-RAP02</t>
  </si>
  <si>
    <t>02.02.03.01.03.14</t>
  </si>
  <si>
    <t>Monta. y Conexio. elec. de Tablero de Transferencia TTA-RAP02</t>
  </si>
  <si>
    <t>02.02.03.01.03.15</t>
  </si>
  <si>
    <t>Monta. y Conexio. elec. de Sirena y Sensor de movimiento -RAP02</t>
  </si>
  <si>
    <t>02.02.03.01.03.16</t>
  </si>
  <si>
    <t>02.02.03.01.03.17</t>
  </si>
  <si>
    <t>Entubado y conexionado de Antena-RAP02</t>
  </si>
  <si>
    <t>02.02.03.01.03.18</t>
  </si>
  <si>
    <t>Montaje e instalacion torre ventada semi pesada 30m</t>
  </si>
  <si>
    <t>02.02.03.02</t>
  </si>
  <si>
    <t>ESTACIÓN RAP02 - INGRESO / SALIDAS</t>
  </si>
  <si>
    <t>02.02.03.02.01</t>
  </si>
  <si>
    <t>02.02.03.02.01.01</t>
  </si>
  <si>
    <t>02.02.03.02.01.02</t>
  </si>
  <si>
    <t>Medidor caudal tubular BB con transmisor de señal analógica DN 300</t>
  </si>
  <si>
    <t>02.02.03.02.01.03</t>
  </si>
  <si>
    <t>Medidor caudal tubular BB con transmisor de señal analógica DN 200</t>
  </si>
  <si>
    <t>02.02.03.02.01.04</t>
  </si>
  <si>
    <t>Válvula altitud control con actuador electrico piloto bridada   DN 300</t>
  </si>
  <si>
    <t>02.02.03.02.01.05</t>
  </si>
  <si>
    <t>Válvula altitud control con actuador electricopiloto bridada   DN 200</t>
  </si>
  <si>
    <t>02.02.03.02.01.06</t>
  </si>
  <si>
    <t>02.02.03.02.01.07</t>
  </si>
  <si>
    <t>Medidor de nivel por presion</t>
  </si>
  <si>
    <t>02.02.03.02.01.08</t>
  </si>
  <si>
    <t>02.02.03.02.01.09</t>
  </si>
  <si>
    <t>02.02.03.02.01.10</t>
  </si>
  <si>
    <t>02.02.03.02.01.11</t>
  </si>
  <si>
    <t>02.02.03.02.01.12</t>
  </si>
  <si>
    <t>02.02.03.02.02</t>
  </si>
  <si>
    <t>02.02.03.02.02.01</t>
  </si>
  <si>
    <t>02.02.03.02.02.02</t>
  </si>
  <si>
    <t>Analizador de turbidez sist. Calidad</t>
  </si>
  <si>
    <t>02.02.03.02.02.03</t>
  </si>
  <si>
    <t>Analizador de conductuvidad sist. calidad</t>
  </si>
  <si>
    <t>02.02.03.02.02.04</t>
  </si>
  <si>
    <t>Bombas centrifuga 1/2HP sist. Calidad</t>
  </si>
  <si>
    <t>02.02.03.02.02.05</t>
  </si>
  <si>
    <t>Presostato sist. Calidad</t>
  </si>
  <si>
    <t>02.02.03.02.02.06</t>
  </si>
  <si>
    <t>02.02.03.02.02.07</t>
  </si>
  <si>
    <t>Valvula selenoida 24VDC</t>
  </si>
  <si>
    <t>02.02.03.02.02.08</t>
  </si>
  <si>
    <t>Tablero sist. calidad TA-TM-RAP-02</t>
  </si>
  <si>
    <t>02.02.03.02.03</t>
  </si>
  <si>
    <t>02.02.03.02.03.01</t>
  </si>
  <si>
    <t>Tablero de control TC2-RAP-02</t>
  </si>
  <si>
    <t>02.02.03.02.04</t>
  </si>
  <si>
    <t>02.02.03.02.04.01</t>
  </si>
  <si>
    <t>Monta. y Conexio. elec. de medidor de nivel sumergible y switch nivel-RAP-02</t>
  </si>
  <si>
    <t>02.02.03.02.04.02</t>
  </si>
  <si>
    <t>Monta. y Conexio. elec. de medidor de presion ingreso-RAP-02</t>
  </si>
  <si>
    <t>02.02.03.02.04.03</t>
  </si>
  <si>
    <t>Monta. y Conexio. elec. de medidor de presion salida margen derecha-RAP-02</t>
  </si>
  <si>
    <t>02.02.03.02.04.04</t>
  </si>
  <si>
    <t>Monta. y Conexio. elec. de medidor de nivel por presion-RAP-02</t>
  </si>
  <si>
    <t>02.02.03.02.04.05</t>
  </si>
  <si>
    <t>Monta. y Conexio. elec. de medidor de presion salida Tankarpata-RAP-02</t>
  </si>
  <si>
    <t>02.02.03.02.04.06</t>
  </si>
  <si>
    <t>Conex. Electr. medidor de flujo DN400mm remoto-RAP-02</t>
  </si>
  <si>
    <t>02.02.03.02.04.07</t>
  </si>
  <si>
    <t>Conex. Electr. medidor de flujo DN300mm remoto-RAP-02</t>
  </si>
  <si>
    <t>02.02.03.02.04.08</t>
  </si>
  <si>
    <t>Conex. Electr. medidor de flujo DN200mm remoto-RAP-02</t>
  </si>
  <si>
    <t>02.02.03.02.04.09</t>
  </si>
  <si>
    <t>Conex. Electr. valvula de control de caudal de ingreso-RAP-02</t>
  </si>
  <si>
    <t>02.02.03.02.04.10</t>
  </si>
  <si>
    <t>Conex. Electr. valvula de control con actuador electrico DN300mm-RAP-02</t>
  </si>
  <si>
    <t>02.02.03.02.04.11</t>
  </si>
  <si>
    <t>Conex. Electr. valvula de control con actuador electrico DN200mm-RAP-02</t>
  </si>
  <si>
    <t>02.02.03.02.04.12</t>
  </si>
  <si>
    <t>Monta. y Conexio. elec. de Sistema de calidad-RAP-02</t>
  </si>
  <si>
    <t>02.02.03.02.04.13</t>
  </si>
  <si>
    <t>Entubado y conexionado elec. a sirena y sensor de movimiento-RAP-02</t>
  </si>
  <si>
    <t>02.02.03.02.04.14</t>
  </si>
  <si>
    <t>Monta. y Conexio. elec. de Tablero de Control TCT-02-RAP-02</t>
  </si>
  <si>
    <t>02.02.03.02.04.15</t>
  </si>
  <si>
    <t>Conexio. elec. entre TCT-01 Y TCT-02 - RAP-02</t>
  </si>
  <si>
    <t>02.02.03.02.04.16</t>
  </si>
  <si>
    <t>Monta. y Conexio. elec. de sensor de inundacion-RAP-02</t>
  </si>
  <si>
    <t>02.02.03.02.05</t>
  </si>
  <si>
    <t>02.02.03.02.05.01</t>
  </si>
  <si>
    <t>Configuracion y Calibracion de Instrumentacion de Campo-RAP-02</t>
  </si>
  <si>
    <t>02.02.03.02.05.02</t>
  </si>
  <si>
    <t>02.02.03.02.05.03</t>
  </si>
  <si>
    <t>02.02.03.02.05.04</t>
  </si>
  <si>
    <t>02.02.03.02.05.05</t>
  </si>
  <si>
    <t>Pruebas de funcionamiento integral-RAP-02</t>
  </si>
  <si>
    <t>02.02.03.02.05.06</t>
  </si>
  <si>
    <t>RESERVORIO RAP-01</t>
  </si>
  <si>
    <t>02.03.01</t>
  </si>
  <si>
    <t>02.03.01.01</t>
  </si>
  <si>
    <t>LINEA DE ENTRADA</t>
  </si>
  <si>
    <t>02.03.01.01.01</t>
  </si>
  <si>
    <t>Tubería de acero SHC-40 p/equipamiento   DN  200  incluye  1% de desperdicio</t>
  </si>
  <si>
    <t>02.03.01.01.02</t>
  </si>
  <si>
    <t>Montaje de instalacion hidraulica de linea de entrada</t>
  </si>
  <si>
    <t>02.03.01.02</t>
  </si>
  <si>
    <t>LINEA DE LIMPIA Y REBOSE</t>
  </si>
  <si>
    <t>02.03.01.02.01</t>
  </si>
  <si>
    <t>02.03.01.02.02</t>
  </si>
  <si>
    <t>02.03.01.02.03</t>
  </si>
  <si>
    <t>02.03.01.02.04</t>
  </si>
  <si>
    <t>Brida de acero para soldar y empernar    DN  200</t>
  </si>
  <si>
    <t>02.03.01.02.05</t>
  </si>
  <si>
    <t>Brida de acero para soldar-rompe agua    DN  250</t>
  </si>
  <si>
    <t>02.03.01.02.06</t>
  </si>
  <si>
    <t>Brida de acero para soldar-rompe agua    DN  200</t>
  </si>
  <si>
    <t>02.03.01.02.07</t>
  </si>
  <si>
    <t>02.03.01.02.08</t>
  </si>
  <si>
    <t>Perno de acero incluye tuerca para unir  bridas  DN  200</t>
  </si>
  <si>
    <t>02.03.01.02.09</t>
  </si>
  <si>
    <t>02.03.01.02.10</t>
  </si>
  <si>
    <t>Empaquetadura de jebe enlonada  DN  200</t>
  </si>
  <si>
    <t>02.03.01.02.11</t>
  </si>
  <si>
    <t>Codo de hierro dúctil de 90° (1/4)  2 bridas   PN 16 DN 250</t>
  </si>
  <si>
    <t>02.03.01.02.12</t>
  </si>
  <si>
    <t>Codo de hierro dúctil de 90° (1/4)  2 bridas   PN 16 DN 200</t>
  </si>
  <si>
    <t>02.03.01.02.13</t>
  </si>
  <si>
    <t>Codo de hierro dúctil de 45° (1/8)  2 bridas   PN 16  DN  250</t>
  </si>
  <si>
    <t>02.03.01.02.14</t>
  </si>
  <si>
    <t>Codo de hierro dúctil de 45° (1/8)  2 bridas   PN 16  DN  200</t>
  </si>
  <si>
    <t>02.03.01.02.15</t>
  </si>
  <si>
    <t>Tee de hierro dúctil con 3 bridas PN 16  DN  250  x  200</t>
  </si>
  <si>
    <t>02.03.01.02.16</t>
  </si>
  <si>
    <t>02.03.01.02.17</t>
  </si>
  <si>
    <t>02.03.01.02.18</t>
  </si>
  <si>
    <t>Montaje de instalacion hidraulica de línea de limpia y rebose</t>
  </si>
  <si>
    <t>02.03.01.03</t>
  </si>
  <si>
    <t>LINEA DE SALIDA</t>
  </si>
  <si>
    <t>02.03.01.03.01</t>
  </si>
  <si>
    <t>02.03.01.03.02</t>
  </si>
  <si>
    <t>Montaje de instalacion hidraulica de linea de salida</t>
  </si>
  <si>
    <t>02.03.02</t>
  </si>
  <si>
    <t>02.03.02.01</t>
  </si>
  <si>
    <t>02.03.02.01.01</t>
  </si>
  <si>
    <t>02.03.02.01.02</t>
  </si>
  <si>
    <t>02.03.02.01.03</t>
  </si>
  <si>
    <t>02.03.02.01.04</t>
  </si>
  <si>
    <t>02.03.02.01.05</t>
  </si>
  <si>
    <t>02.03.02.01.06</t>
  </si>
  <si>
    <t>02.03.02.01.07</t>
  </si>
  <si>
    <t>02.03.02.01.08</t>
  </si>
  <si>
    <t>02.03.02.02</t>
  </si>
  <si>
    <t>02.03.02.02.01</t>
  </si>
  <si>
    <t>02.03.02.02.02</t>
  </si>
  <si>
    <t>02.03.02.02.03</t>
  </si>
  <si>
    <t>02.03.02.02.04</t>
  </si>
  <si>
    <t>02.03.02.02.05</t>
  </si>
  <si>
    <t>02.03.02.03</t>
  </si>
  <si>
    <t>02.03.02.03.01</t>
  </si>
  <si>
    <t>02.03.02.03.02</t>
  </si>
  <si>
    <t>02.03.02.03.03</t>
  </si>
  <si>
    <t>02.03.02.03.04</t>
  </si>
  <si>
    <t>02.03.02.03.05</t>
  </si>
  <si>
    <t>02.03.02.03.06</t>
  </si>
  <si>
    <t>02.03.02.03.07</t>
  </si>
  <si>
    <t>02.03.02.03.08</t>
  </si>
  <si>
    <t>02.03.02.03.09</t>
  </si>
  <si>
    <t>02.03.02.04</t>
  </si>
  <si>
    <t>02.03.02.04.01</t>
  </si>
  <si>
    <t>02.03.02.05</t>
  </si>
  <si>
    <t>02.03.02.05.01</t>
  </si>
  <si>
    <t>02.03.02.05.02</t>
  </si>
  <si>
    <t>02.03.02.05.03</t>
  </si>
  <si>
    <t>02.03.02.05.04</t>
  </si>
  <si>
    <t>02.03.02.05.05</t>
  </si>
  <si>
    <t>02.03.02.05.06</t>
  </si>
  <si>
    <t>02.03.02.05.07</t>
  </si>
  <si>
    <t>Interruptor diferencial tripolar riel DIN 3 polos    por  16 A 30mA</t>
  </si>
  <si>
    <t>02.03.02.05.08</t>
  </si>
  <si>
    <t>02.03.02.06</t>
  </si>
  <si>
    <t>02.03.02.06.01</t>
  </si>
  <si>
    <t>02.03.02.06.02</t>
  </si>
  <si>
    <t>02.03.02.06.03</t>
  </si>
  <si>
    <t>02.03.02.06.04</t>
  </si>
  <si>
    <t>02.03.02.06.05</t>
  </si>
  <si>
    <t>02.03.02.06.06</t>
  </si>
  <si>
    <t>02.03.02.07</t>
  </si>
  <si>
    <t>02.03.02.07.01</t>
  </si>
  <si>
    <t>02.03.02.07.02</t>
  </si>
  <si>
    <t>02.03.02.07.03</t>
  </si>
  <si>
    <t>02.03.02.07.04</t>
  </si>
  <si>
    <t>02.03.02.08</t>
  </si>
  <si>
    <t>02.03.02.08.01</t>
  </si>
  <si>
    <t>02.03.02.08.02</t>
  </si>
  <si>
    <t>02.03.02.08.03</t>
  </si>
  <si>
    <t>02.03.02.08.04</t>
  </si>
  <si>
    <t>02.03.02.09</t>
  </si>
  <si>
    <t>02.03.02.09.01</t>
  </si>
  <si>
    <t>02.03.02.10</t>
  </si>
  <si>
    <t>02.03.02.10.01</t>
  </si>
  <si>
    <t>02.03.02.11</t>
  </si>
  <si>
    <t>02.03.02.11.01</t>
  </si>
  <si>
    <t>02.03.02.11.01.01</t>
  </si>
  <si>
    <t>02.03.02.11.01.01.01</t>
  </si>
  <si>
    <t>02.03.02.11.01.02</t>
  </si>
  <si>
    <t>02.03.02.11.01.02.01</t>
  </si>
  <si>
    <t>Armado trifasico de seccionamiento - PSEC3</t>
  </si>
  <si>
    <t>02.03.02.11.01.02.02</t>
  </si>
  <si>
    <t>Armado trifasico de derivacion - DT-3</t>
  </si>
  <si>
    <t>02.03.02.11.01.02.03</t>
  </si>
  <si>
    <t>Armado trifasico de alineamiento para conductor autoportante - ATPB1</t>
  </si>
  <si>
    <t>02.03.02.11.01.02.04</t>
  </si>
  <si>
    <t>Armado trifasico de angulo para conductor autoportante - ATPB6</t>
  </si>
  <si>
    <t>02.03.02.11.01.03</t>
  </si>
  <si>
    <t>02.03.02.11.01.03.01</t>
  </si>
  <si>
    <t>Cable de energia unipolar tipo NA2XSA2Y de 50 mm2</t>
  </si>
  <si>
    <t>02.03.02.11.01.03.02</t>
  </si>
  <si>
    <t>Alambre de amarre de aluminio de 10mm2</t>
  </si>
  <si>
    <t>02.03.02.11.01.03.03</t>
  </si>
  <si>
    <t>02.03.02.11.01.04</t>
  </si>
  <si>
    <t>ACCESORIO PARA AISLADORES</t>
  </si>
  <si>
    <t>02.03.02.11.01.04.01</t>
  </si>
  <si>
    <t>02.03.02.11.01.05</t>
  </si>
  <si>
    <t>02.03.02.11.01.05.01</t>
  </si>
  <si>
    <t>02.03.02.11.01.05.02</t>
  </si>
  <si>
    <t>02.03.02.11.01.05.03</t>
  </si>
  <si>
    <t>02.03.02.11.01.05.04</t>
  </si>
  <si>
    <t>02.03.02.11.01.05.05</t>
  </si>
  <si>
    <t>02.03.02.11.01.06</t>
  </si>
  <si>
    <t>02.03.02.11.01.06.01</t>
  </si>
  <si>
    <t>02.03.02.11.01.07</t>
  </si>
  <si>
    <t>02.03.02.11.01.07.01</t>
  </si>
  <si>
    <t>02.03.02.11.01.08</t>
  </si>
  <si>
    <t>02.03.02.11.01.08.01</t>
  </si>
  <si>
    <t>02.03.02.11.01.08.02</t>
  </si>
  <si>
    <t>02.03.02.11.01.08.03</t>
  </si>
  <si>
    <t>02.03.02.11.01.08.04</t>
  </si>
  <si>
    <t>02.03.02.11.02</t>
  </si>
  <si>
    <t>02.03.02.11.02.01</t>
  </si>
  <si>
    <t>02.03.02.11.02.01.02</t>
  </si>
  <si>
    <t>02.03.02.11.02.02</t>
  </si>
  <si>
    <t>02.03.02.11.02.02.01</t>
  </si>
  <si>
    <t>02.03.02.11.02.02.02</t>
  </si>
  <si>
    <t>02.03.02.11.02.02.03</t>
  </si>
  <si>
    <t>02.03.02.11.02.02.04</t>
  </si>
  <si>
    <t>02.03.02.11.02.03</t>
  </si>
  <si>
    <t>02.03.02.11.02.03.01</t>
  </si>
  <si>
    <t>02.03.02.11.02.03.02</t>
  </si>
  <si>
    <t>02.03.02.11.02.03.03</t>
  </si>
  <si>
    <t>02.03.02.11.02.04</t>
  </si>
  <si>
    <t>02.03.02.11.02.04.01</t>
  </si>
  <si>
    <t>02.03.02.11.02.04.02</t>
  </si>
  <si>
    <t>02.03.02.11.02.04.03</t>
  </si>
  <si>
    <t>02.03.02.11.02.05</t>
  </si>
  <si>
    <t>02.03.02.11.02.05.01</t>
  </si>
  <si>
    <t>Montaje de armados ATPB1</t>
  </si>
  <si>
    <t>02.03.02.11.02.05.02</t>
  </si>
  <si>
    <t>Montaje de armados ATPB6</t>
  </si>
  <si>
    <t>02.03.02.11.02.06</t>
  </si>
  <si>
    <t>02.03.02.11.02.06.01</t>
  </si>
  <si>
    <t>02.03.02.11.02.06.02</t>
  </si>
  <si>
    <t>02.03.02.11.02.06.03</t>
  </si>
  <si>
    <t>Instalacion del kit de terminacion unipolar exterior - interior 18/30KV incluye terminales y accesorios de sujeccion</t>
  </si>
  <si>
    <t>02.03.02.11.02.06.04</t>
  </si>
  <si>
    <t>Tendido y puesta en flecha de conductor de NA2XSA2Y-S, 8.7/15KV-3-1x35mm, incluye fijacion del cable en las grapas de su</t>
  </si>
  <si>
    <t>02.03.02.11.02.07</t>
  </si>
  <si>
    <t>02.03.02.11.02.07.01</t>
  </si>
  <si>
    <t>02.03.02.11.02.07.02</t>
  </si>
  <si>
    <t>02.03.02.11.02.08</t>
  </si>
  <si>
    <t>02.03.02.11.02.08.01</t>
  </si>
  <si>
    <t>02.03.02.11.02.08.02</t>
  </si>
  <si>
    <t>02.03.02.11.02.08.03</t>
  </si>
  <si>
    <t>Gastos de conexion de medidor electronico multifuncion</t>
  </si>
  <si>
    <t>02.03.02.11.02.09</t>
  </si>
  <si>
    <t>02.03.02.11.02.09.01</t>
  </si>
  <si>
    <t>02.03.02.12</t>
  </si>
  <si>
    <t>02.03.02.12.01</t>
  </si>
  <si>
    <t>02.03.02.12.01.01</t>
  </si>
  <si>
    <t>02.03.02.12.01.01.01</t>
  </si>
  <si>
    <t>Conductor desnudo de aluminio tipo AAAC de 7 hilos 25mm2</t>
  </si>
  <si>
    <t>02.03.02.12.01.01.02</t>
  </si>
  <si>
    <t>02.03.02.12.01.01.03</t>
  </si>
  <si>
    <t>02.03.02.12.01.01.04</t>
  </si>
  <si>
    <t>02.03.02.12.02</t>
  </si>
  <si>
    <t>02.03.02.12.02.01</t>
  </si>
  <si>
    <t>02.03.02.12.02.01.01</t>
  </si>
  <si>
    <t>02.03.02.12.02.01.02</t>
  </si>
  <si>
    <t>02.03.02.12.02.01.03</t>
  </si>
  <si>
    <t>02.03.02.12.02.02</t>
  </si>
  <si>
    <t>02.03.02.12.02.02.01</t>
  </si>
  <si>
    <t>02.03.02.12.02.02.02</t>
  </si>
  <si>
    <t>02.03.02.12.02.02.03</t>
  </si>
  <si>
    <t>02.03.02.12.02.02.04</t>
  </si>
  <si>
    <t>02.03.02.12.02.02.05</t>
  </si>
  <si>
    <t>02.03.02.12.02.02.06</t>
  </si>
  <si>
    <t>02.03.02.12.02.03</t>
  </si>
  <si>
    <t>02.03.02.12.02.03.01</t>
  </si>
  <si>
    <t>Transformador de distribucion trifasico en aceite 50KVA, 60HZ tension principal: 10-22.9KV tension secundaria en vacio: 460-231V, conexionado: DYN5, regulacion TAPS: 2x2.5% ONAN 3500 m.s.n.m.</t>
  </si>
  <si>
    <t>02.03.02.12.02.03.02</t>
  </si>
  <si>
    <t>Transformador de medicion mixta de tension y corriente tipo TMEA33 60HZ 10-22.9KV relacion de corriente 5/5, bobina</t>
  </si>
  <si>
    <t>02.03.02.12.02.04</t>
  </si>
  <si>
    <t>02.03.02.12.02.04.01</t>
  </si>
  <si>
    <t>02.03.02.12.02.05</t>
  </si>
  <si>
    <t>02.03.02.12.02.05.01</t>
  </si>
  <si>
    <t>02.03.02.12.03</t>
  </si>
  <si>
    <t>02.03.02.12.03.01</t>
  </si>
  <si>
    <t>02.03.02.12.03.01.01</t>
  </si>
  <si>
    <t>02.03.02.12.03.01.02</t>
  </si>
  <si>
    <t>02.03.02.12.03.01.03</t>
  </si>
  <si>
    <t>02.03.02.12.03.02</t>
  </si>
  <si>
    <t>02.03.02.12.03.02.01</t>
  </si>
  <si>
    <t>Instalacion al poste seccionador CUT-OUT, 21-25KV, 175BIL con fusibles tipo chicote incl. el conexionado a la red,</t>
  </si>
  <si>
    <t>02.03.02.12.03.02.02</t>
  </si>
  <si>
    <t>02.03.02.12.03.02.03</t>
  </si>
  <si>
    <t>02.03.02.12.03.03</t>
  </si>
  <si>
    <t>02.03.02.12.03.03.01</t>
  </si>
  <si>
    <t>02.03.02.12.03.03.02</t>
  </si>
  <si>
    <t>02.03.02.12.03.03.03</t>
  </si>
  <si>
    <t>02.03.02.12.03.04</t>
  </si>
  <si>
    <t>02.03.02.12.03.04.01</t>
  </si>
  <si>
    <t>02.03.03</t>
  </si>
  <si>
    <t>02.03.03.01</t>
  </si>
  <si>
    <t>02.03.03.01.01</t>
  </si>
  <si>
    <t>Válvula altitud control con actuador electrico piloto bridada   DN 250</t>
  </si>
  <si>
    <t>02.03.03.01.02</t>
  </si>
  <si>
    <t>Medidor caudal tubular BB con transmisor de señal analógica DN 250</t>
  </si>
  <si>
    <t>02.03.03.01.03</t>
  </si>
  <si>
    <t>02.03.03.01.04</t>
  </si>
  <si>
    <t>02.03.03.01.05</t>
  </si>
  <si>
    <t>02.03.03.01.06</t>
  </si>
  <si>
    <t>02.03.03.01.07</t>
  </si>
  <si>
    <t>02.03.03.01.08</t>
  </si>
  <si>
    <t>02.03.03.01.09</t>
  </si>
  <si>
    <t>02.03.03.01.10</t>
  </si>
  <si>
    <t>Detector de Fuga de cloro</t>
  </si>
  <si>
    <t>02.03.03.01.11</t>
  </si>
  <si>
    <t>Extractror de aire</t>
  </si>
  <si>
    <t>02.03.03.01.12</t>
  </si>
  <si>
    <t>Balanza electronica para cloracion</t>
  </si>
  <si>
    <t>02.03.03.01.13</t>
  </si>
  <si>
    <t>02.03.03.01.14</t>
  </si>
  <si>
    <t>02.03.03.02</t>
  </si>
  <si>
    <t>TABLEROS RAP-01</t>
  </si>
  <si>
    <t>02.03.03.02.01</t>
  </si>
  <si>
    <t>Tablero General TA-G-RAP01</t>
  </si>
  <si>
    <t>02.03.03.02.02</t>
  </si>
  <si>
    <t>Tablero de control y telemetria TCT-RAP-01</t>
  </si>
  <si>
    <t>02.03.03.03</t>
  </si>
  <si>
    <t>02.03.03.03.01</t>
  </si>
  <si>
    <t>02.03.03.03.02</t>
  </si>
  <si>
    <t>02.03.03.03.03</t>
  </si>
  <si>
    <t>02.03.03.03.04</t>
  </si>
  <si>
    <t>02.03.03.03.05</t>
  </si>
  <si>
    <t>Tablero sist. calidad TA-TSC-RAP-01</t>
  </si>
  <si>
    <t>02.03.03.04</t>
  </si>
  <si>
    <t>02.03.03.04.01</t>
  </si>
  <si>
    <t>Monta. y Conexio. elec. de medidor de nivel sumergible y switch nivel-RAP-01</t>
  </si>
  <si>
    <t>02.03.03.04.02</t>
  </si>
  <si>
    <t>Monta. y Conexio. elec. de medidor de presion ingreso-RAP-01</t>
  </si>
  <si>
    <t>02.03.03.04.03</t>
  </si>
  <si>
    <t>Monta. y Conexio. elec. de medidor de nivel por presion-RAP-01</t>
  </si>
  <si>
    <t>02.03.03.04.04</t>
  </si>
  <si>
    <t>Monta. y Conexio. elec. de medidor de presion salida-RAP01</t>
  </si>
  <si>
    <t>02.03.03.04.05</t>
  </si>
  <si>
    <t>Conex. Electr. medidor de flujo DN250mm remoto-RAP01</t>
  </si>
  <si>
    <t>02.03.03.04.06</t>
  </si>
  <si>
    <t>Conex. Electr. valvula de control de caudal - RAP-01</t>
  </si>
  <si>
    <t>02.03.03.04.07</t>
  </si>
  <si>
    <t>Conex. Electr. valvula de control con actuador electrico DN250mm-RAP-01</t>
  </si>
  <si>
    <t>02.03.03.04.08</t>
  </si>
  <si>
    <t>Monta. y Conexio. elec. de Sistema de calidad-RAP-01</t>
  </si>
  <si>
    <t>02.03.03.04.09</t>
  </si>
  <si>
    <t>Entubado y conexionado elec. a sirena y sensor de movimiento-RAP-01</t>
  </si>
  <si>
    <t>02.03.03.04.10</t>
  </si>
  <si>
    <t>Conex. Electr. Bomba de cloro -RAP-01</t>
  </si>
  <si>
    <t>02.03.03.04.11</t>
  </si>
  <si>
    <t>Monta. y Conexio. elec. de balanza electronica -RAP-01</t>
  </si>
  <si>
    <t>02.03.03.04.12</t>
  </si>
  <si>
    <t>Monta. y Conexio. elec. de extractor -RAP-01</t>
  </si>
  <si>
    <t>02.03.03.04.13</t>
  </si>
  <si>
    <t>Monta. y Conexio. de detector de fuga y cloro -RAP-01</t>
  </si>
  <si>
    <t>02.03.03.04.14</t>
  </si>
  <si>
    <t>Monta. y Conexio. elec. de Tablero de Control TCT - RAP-01</t>
  </si>
  <si>
    <t>02.03.03.04.15</t>
  </si>
  <si>
    <t>Monta. y Conexio. elec. de tablero de Sistema de calidad-RAP-01</t>
  </si>
  <si>
    <t>02.03.03.04.16</t>
  </si>
  <si>
    <t>Conex. Electr. Tab. de control y Tab. de sistema de calidad</t>
  </si>
  <si>
    <t>02.03.03.04.17</t>
  </si>
  <si>
    <t>02.03.03.04.18</t>
  </si>
  <si>
    <t>Entubado y conexionado de Antena-RAP01</t>
  </si>
  <si>
    <t>02.03.03.04.19</t>
  </si>
  <si>
    <t>Monta. y Conexio. elec. de Tablero General TA-G-RAP01</t>
  </si>
  <si>
    <t>02.03.03.04.20</t>
  </si>
  <si>
    <t>Monta. y Conexio. elec. de sensor de inundacion-RAP-01</t>
  </si>
  <si>
    <t>02.03.03.04.21</t>
  </si>
  <si>
    <t>02.03.03.05</t>
  </si>
  <si>
    <t>02.03.03.05.01</t>
  </si>
  <si>
    <t>Configuracion y Calibracion de Instrumentacion de Campo-RAP-01</t>
  </si>
  <si>
    <t>02.03.03.05.02</t>
  </si>
  <si>
    <t>02.03.03.05.03</t>
  </si>
  <si>
    <t>02.03.03.05.04</t>
  </si>
  <si>
    <t>02.03.03.05.05</t>
  </si>
  <si>
    <t>Pruebas de funcionamiento integral-RAP-01</t>
  </si>
  <si>
    <t>02.03.03.05.06</t>
  </si>
  <si>
    <t>RESERVIRIO RAE-01</t>
  </si>
  <si>
    <t>02.04.01</t>
  </si>
  <si>
    <t>EQUIPAMIENTO HIDRAULICO</t>
  </si>
  <si>
    <t>02.04.01.01</t>
  </si>
  <si>
    <t>CASETA DE VALVULAS RAE-01</t>
  </si>
  <si>
    <t>02.04.01.01.01</t>
  </si>
  <si>
    <t>02.04.01.01.02</t>
  </si>
  <si>
    <t>Tubería sensora 3/4"</t>
  </si>
  <si>
    <t>02.04.01.01.03</t>
  </si>
  <si>
    <t>LINEAS, REDES Y CONEXIONES DE AGUA POTABLE</t>
  </si>
  <si>
    <t>OBRAS PROVISIONALES</t>
  </si>
  <si>
    <t>03.01.01</t>
  </si>
  <si>
    <t>03.01.02</t>
  </si>
  <si>
    <t>03.01.03</t>
  </si>
  <si>
    <t>Letrero metálico 0,60 x 0,60 m  s/poste  p/desvío tránsito (prov.durante obra)</t>
  </si>
  <si>
    <t>03.01.04</t>
  </si>
  <si>
    <t>03.01.05</t>
  </si>
  <si>
    <t>03.01.06</t>
  </si>
  <si>
    <t>03.01.07</t>
  </si>
  <si>
    <t>Riego de zona de trabajo para mitigar la contaminación - polvo (Incl. Costo de agua y transporte Surtidor a obra )</t>
  </si>
  <si>
    <t>LINEAS HD</t>
  </si>
  <si>
    <t>03.02.01</t>
  </si>
  <si>
    <t>LINEA DE ALIMENTACION ( CD-01 A RAE-13)</t>
  </si>
  <si>
    <t>03.02.01.01</t>
  </si>
  <si>
    <t>PAVIMENTOS, DEMOLICIONES, SELLADO DE BUZONES Y TUBERIAS</t>
  </si>
  <si>
    <t>03.02.01.01.01</t>
  </si>
  <si>
    <t>Corte+rotura, ED y reposic. de pavimento rígido f'c 210 kg/cm2 de e= 8"</t>
  </si>
  <si>
    <t>03.02.01.02</t>
  </si>
  <si>
    <t>03.02.01.02.01</t>
  </si>
  <si>
    <t>Suministro e instalacion de tuberia HD DN400mm C-40 en TN hasta 2.50m de profun.</t>
  </si>
  <si>
    <t>03.02.01.02.02</t>
  </si>
  <si>
    <t>Suministro e instalacion de tuberia HD DN400mm C-40 en TSR hasta 2.50m de profun.</t>
  </si>
  <si>
    <t>03.02.01.02.03</t>
  </si>
  <si>
    <t>Suministro e instalacion de tuberia HD junta acerrojada DN400mm C-30(PFA 16bar) NTP-ISO TNO 2.01m a 2.50m de profun.</t>
  </si>
  <si>
    <t>03.02.01.02.04</t>
  </si>
  <si>
    <t>Suministro e instalacion de tuberia HD junta acerrojada DN400mm C-30(PFA 16bar) NTP-ISO TSR 2.01m a 2.50m de profun.</t>
  </si>
  <si>
    <t>03.02.01.02.05</t>
  </si>
  <si>
    <t>Suministro e instalacion de accesorios para linea de alimentacion</t>
  </si>
  <si>
    <t>03.02.01.02.06</t>
  </si>
  <si>
    <t>Suministro e instalacion de accesorios acerrojados para linea de alimentacion</t>
  </si>
  <si>
    <t>03.02.01.03</t>
  </si>
  <si>
    <t>CAMARA DE DERIVACIÓN</t>
  </si>
  <si>
    <t>03.02.01.03.01</t>
  </si>
  <si>
    <t>Cámara tipo cuadrada p/cámara de derivación en t.normal de 2,51 - 3,00 m prof. (Cemento P-V o HS)</t>
  </si>
  <si>
    <t>03.02.01.03.02</t>
  </si>
  <si>
    <t>Suministro e instalacion hidraulica para cámara de derivación en linea DN 400 HD</t>
  </si>
  <si>
    <t>03.02.01.04</t>
  </si>
  <si>
    <t>CAMARAS DE VALVULAS DE AIRE Y PURGA</t>
  </si>
  <si>
    <t>03.02.01.04.01</t>
  </si>
  <si>
    <t>VALVULAS</t>
  </si>
  <si>
    <t>03.02.01.04.01.01</t>
  </si>
  <si>
    <t>Válvula aire triple efecto DN 100 en linea de alimentacion DN 400</t>
  </si>
  <si>
    <t>03.02.01.04.01.02</t>
  </si>
  <si>
    <t>Válvula de purga tipo compuerta DN 150 en linea de alimentacion DN 400</t>
  </si>
  <si>
    <t>03.02.01.04.02</t>
  </si>
  <si>
    <t>ESTRUCTURAS</t>
  </si>
  <si>
    <t>03.02.01.04.02.01</t>
  </si>
  <si>
    <t>Estructura de cámara de valvula de aire en t-normal</t>
  </si>
  <si>
    <t>03.02.01.04.02.02</t>
  </si>
  <si>
    <t>Estructura de cámara de valvula de purga en t-normal</t>
  </si>
  <si>
    <t>03.02.01.05</t>
  </si>
  <si>
    <t>CRUCE DE LA LINEA DE ALIMENTACION PROYECTADO BAJO EL RÍO HUATANAY</t>
  </si>
  <si>
    <t>03.02.01.05.01</t>
  </si>
  <si>
    <t>03.02.01.05.01.01</t>
  </si>
  <si>
    <t>Encauzamiento provisional de rio</t>
  </si>
  <si>
    <t>03.02.01.05.01.02</t>
  </si>
  <si>
    <t>Limpieza y desbroce con tractor</t>
  </si>
  <si>
    <t>03.02.01.05.01.03</t>
  </si>
  <si>
    <t>Bombeo de agua en terreno saturado con   empleo de motobomba DN 150</t>
  </si>
  <si>
    <t>h</t>
  </si>
  <si>
    <t>03.02.01.05.01.04</t>
  </si>
  <si>
    <t>Acondicionamiento camino de acceso</t>
  </si>
  <si>
    <t>03.02.01.05.02</t>
  </si>
  <si>
    <t>EXPLANACIÓN DEL RÍO HUATANAY</t>
  </si>
  <si>
    <t>03.02.01.05.02.01</t>
  </si>
  <si>
    <t>Excavaciones-cortes en terreno semiroca  saturado (material de río) con tractor</t>
  </si>
  <si>
    <t>03.02.01.05.02.02</t>
  </si>
  <si>
    <t>03.02.01.05.03</t>
  </si>
  <si>
    <t>ETAPA N°1</t>
  </si>
  <si>
    <t>03.02.01.05.03.01</t>
  </si>
  <si>
    <t>ATAGUÍA N°1</t>
  </si>
  <si>
    <t>03.02.01.05.03.01.01</t>
  </si>
  <si>
    <t>Excavaciones de pantallas en terr. semiroca saturado (material de río)  c/cargador retroexcavador 0,75 - 1,60 yd3</t>
  </si>
  <si>
    <t>03.02.01.05.03.01.02</t>
  </si>
  <si>
    <t>Material de préstamo "canto rodado"    (provisión y colocación)</t>
  </si>
  <si>
    <t>03.02.01.05.03.01.03</t>
  </si>
  <si>
    <t>Conformación de lecho del río</t>
  </si>
  <si>
    <t>03.02.01.05.03.01.04</t>
  </si>
  <si>
    <t>Provision y colocado de geomembrana 1 mm</t>
  </si>
  <si>
    <t>03.02.01.05.04</t>
  </si>
  <si>
    <t>ETAPA N°2</t>
  </si>
  <si>
    <t>03.02.01.05.04.01</t>
  </si>
  <si>
    <t>ATAGUÍA N°2</t>
  </si>
  <si>
    <t>03.02.01.05.04.01.01</t>
  </si>
  <si>
    <t>03.02.01.05.04.01.02</t>
  </si>
  <si>
    <t>03.02.01.05.04.01.03</t>
  </si>
  <si>
    <t>03.02.01.05.04.01.04</t>
  </si>
  <si>
    <t>03.02.01.06</t>
  </si>
  <si>
    <t>03.02.01.06.01</t>
  </si>
  <si>
    <t>Cruce de pase de via ferrea</t>
  </si>
  <si>
    <t>03.02.01.06.02</t>
  </si>
  <si>
    <t>Cruce de pase de rio (Estructura)</t>
  </si>
  <si>
    <t>03.02.01.06.03</t>
  </si>
  <si>
    <t>Cruce de pase de redes existentes - linea de alimentacion</t>
  </si>
  <si>
    <t>03.02.02</t>
  </si>
  <si>
    <t>LINEA DE IMPULSION (CP-01 A RAP-02)</t>
  </si>
  <si>
    <t>03.02.02.01</t>
  </si>
  <si>
    <t>03.02.02.01.01</t>
  </si>
  <si>
    <t>Corte+rotura, ED y reposic. de pavimento flexible asfalto caliente de e= 2"</t>
  </si>
  <si>
    <t>03.02.02.01.02</t>
  </si>
  <si>
    <t>03.02.02.02</t>
  </si>
  <si>
    <t>03.02.02.02.01</t>
  </si>
  <si>
    <t>Suministro e instalacion de tuberia HD junta acerrojada DN400mm C-40(PFA 42bar) NTP-ISO TNO 2.01m a 2.50m de profun.</t>
  </si>
  <si>
    <t>03.02.02.02.02</t>
  </si>
  <si>
    <t>Suministro e instalacion de tuberia HD junta acerrojada DN400mm C-40(PFA 42bar) NTP-ISO TSR 2.01m a 2.50m de profun.</t>
  </si>
  <si>
    <t>03.02.02.02.03</t>
  </si>
  <si>
    <t>Suministro e instalacion de tuberia HD junta acerrojada DN400mm C-40(PFA 42bar) NTP-ISO TRO 2.01m a 2.50m de profun.</t>
  </si>
  <si>
    <t>03.02.02.02.04</t>
  </si>
  <si>
    <t>Suministro e instalacion de tuberia HD junta acerrojada DN400mm C-40(PFA 24bar) NTP-ISO TNO 2.01m a 2.50m de profun.</t>
  </si>
  <si>
    <t>03.02.02.02.05</t>
  </si>
  <si>
    <t>Suministro e instalacion de tuberia HD junta acerrojada DN400mm C-40(PFA 24bar) NTP-ISO TSR 2.01m a 2.50m de profun.</t>
  </si>
  <si>
    <t>03.02.02.02.06</t>
  </si>
  <si>
    <t>Suministro e instalacion de tuberia HD junta acerrojada DN400mm C-30(PFA 19bar) NTP-ISO TSR 2.01m a 2.50m de profun.</t>
  </si>
  <si>
    <t>03.02.02.02.07</t>
  </si>
  <si>
    <t>Suministro e instalacion de tuberia HD junta acerrojada DN400mm C-30(PFA 19bar) NTP-ISO TRO 2.01m a 2.50m de profun.</t>
  </si>
  <si>
    <t>03.02.02.02.08</t>
  </si>
  <si>
    <t>Suministro e instalacion de accesorios acerrojados para linea de IMPULSION CP-01 a RAP-02</t>
  </si>
  <si>
    <t>03.02.02.02.09</t>
  </si>
  <si>
    <t>Suministro e instalacion de dados de anclaje en talud</t>
  </si>
  <si>
    <t>03.02.02.03</t>
  </si>
  <si>
    <t>03.02.02.03.01</t>
  </si>
  <si>
    <t>03.02.02.03.01.01</t>
  </si>
  <si>
    <t>Válvula aire triple efecto PN 25 DN 100 en linea de alimentacion DN 400</t>
  </si>
  <si>
    <t>03.02.02.03.01.02</t>
  </si>
  <si>
    <t>Válvula de purga tipo compuerta PN 25 DN 150 en linea de alimentacion DN 400</t>
  </si>
  <si>
    <t>03.02.02.03.02</t>
  </si>
  <si>
    <t>03.02.02.03.02.01</t>
  </si>
  <si>
    <t>03.02.02.03.02.02</t>
  </si>
  <si>
    <t>Estructura de cámara de valvula de aire en t. semirocoso</t>
  </si>
  <si>
    <t>03.02.02.03.02.03</t>
  </si>
  <si>
    <t>Estructura de cámara de valvula de aire en t. rocoso</t>
  </si>
  <si>
    <t>03.02.02.03.02.04</t>
  </si>
  <si>
    <t>03.02.02.03.02.05</t>
  </si>
  <si>
    <t>Estructura de cámara de valvula de purga en t-semirocoso</t>
  </si>
  <si>
    <t>03.02.02.04</t>
  </si>
  <si>
    <t>03.02.02.04.01</t>
  </si>
  <si>
    <t>Cruce de pase de redes existentes - linea impulsion CP-01 a RAP-02</t>
  </si>
  <si>
    <t>03.02.03</t>
  </si>
  <si>
    <t>LINEA DE IMPULSION (RAP-02 A RAP-01)</t>
  </si>
  <si>
    <t>03.02.03.01</t>
  </si>
  <si>
    <t>03.02.03.01.01</t>
  </si>
  <si>
    <t>Suministro e instalacion de tuberia HD DN200mm C-40 en TSR 1.76 a 2.00m de profun.</t>
  </si>
  <si>
    <t>03.02.03.01.02</t>
  </si>
  <si>
    <t>Suministro e instalacion de tuberia HD DN200mm C-40 en TR 1.76 a 2.00m de profun.</t>
  </si>
  <si>
    <t>03.02.03.01.03</t>
  </si>
  <si>
    <t>Suministro e instalacion de tuberia HD junta acerrojada DN200mm C-50(PFA 20bar) NTP-ISO TRO 1.76m a 2.00m de profun.</t>
  </si>
  <si>
    <t>03.02.03.01.04</t>
  </si>
  <si>
    <t>Suministro e instalacion de tuberia HD junta acerrojada DN200mm C-40(PFA 16bar) NTP-ISO TSR 1.76m a 2.00m de profun.</t>
  </si>
  <si>
    <t>03.02.03.01.05</t>
  </si>
  <si>
    <t>Suministro e instalacion de tuberia HD junta acerrojada DN200mm C-40(PFA 16bar) NTP-ISO TRO 1.76m a 2.00m de profun.</t>
  </si>
  <si>
    <t>03.02.03.01.06</t>
  </si>
  <si>
    <t>Suministro e instalacion de accesorios para linea de IMPULSION RAP-02 a RAP-01</t>
  </si>
  <si>
    <t>03.02.03.01.07</t>
  </si>
  <si>
    <t>Suministro e instalacion de accesorios acerrojados para linea de IMPULSION RAP-02 a RAP-01</t>
  </si>
  <si>
    <t>03.02.03.02</t>
  </si>
  <si>
    <t>03.02.03.02.01</t>
  </si>
  <si>
    <t>03.02.03.02.01.01</t>
  </si>
  <si>
    <t>Válvula aire triple efecto PN 25 DN 50 en linea de alimentacion DN 200</t>
  </si>
  <si>
    <t>03.02.03.02.01.02</t>
  </si>
  <si>
    <t>Válvula de purga tipo compuerta PN 25 DN 100 en linea de alimentacion DN 200</t>
  </si>
  <si>
    <t>03.02.03.02.02</t>
  </si>
  <si>
    <t>03.02.03.02.02.01</t>
  </si>
  <si>
    <t>03.02.03.02.02.02</t>
  </si>
  <si>
    <t>03.02.03.02.02.03</t>
  </si>
  <si>
    <t>Estructura de cámara de valvula de purga en t. rocoso</t>
  </si>
  <si>
    <t>03.02.04</t>
  </si>
  <si>
    <t>LINEA DE CONDUCCION</t>
  </si>
  <si>
    <t>03.02.04.01</t>
  </si>
  <si>
    <t>03.02.04.01.01</t>
  </si>
  <si>
    <t>03.02.04.02</t>
  </si>
  <si>
    <t>03.02.04.02.01</t>
  </si>
  <si>
    <t>Suministro e instalacion de tuberia HD DN300mm C-40 en TSR 1.51m a 1.75m de profun.</t>
  </si>
  <si>
    <t>03.02.04.02.02</t>
  </si>
  <si>
    <t>Suministro e instalacion de tuberia HD DN300mm C-40 en TR 1.76m a 2.00m de profun.</t>
  </si>
  <si>
    <t>03.02.04.02.03</t>
  </si>
  <si>
    <t>Suministro e instalacion de tuberia HD DN250mm C-40 en TN 2.01m a 2.50m de profun.</t>
  </si>
  <si>
    <t>03.02.04.02.04</t>
  </si>
  <si>
    <t>Suministro e instalacion de tuberia HD DN250mm C-40 en TSR 1.51m a 1.75m de profun.</t>
  </si>
  <si>
    <t>03.02.04.02.05</t>
  </si>
  <si>
    <t>Suministro e instalacion de tuberia HD DN250mm C-40 en TSR 1.76m a 2.00m de profun.</t>
  </si>
  <si>
    <t>03.02.04.02.06</t>
  </si>
  <si>
    <t>Suministro e instalacion de tuberia HD DN250mm C-40 en TSR 2.01m a 2.50m de profun.</t>
  </si>
  <si>
    <t>03.02.04.02.07</t>
  </si>
  <si>
    <t>Suministro e instalacion de tuberia HD DN250mm C-40 en TR 1.51m a 1.75m de profun.</t>
  </si>
  <si>
    <t>03.02.04.02.08</t>
  </si>
  <si>
    <t>Suministro e instalacion de tuberia HD DN150mm C-40 en TN 2.01m a 2.50m de profun.</t>
  </si>
  <si>
    <t>03.02.04.02.09</t>
  </si>
  <si>
    <t>Suministro e instalacion de tuberia HD junta acerrojada DN300mm C-40(PFA 16bar) NTP-ISO TSR 1.51m a 1.75m de profun.</t>
  </si>
  <si>
    <t>03.02.04.02.10</t>
  </si>
  <si>
    <t>Suministro e instalacion de tuberia HD junta acerrojada DN300mm C-40(PFA 16bar) NTP-ISO TRO 1.76m a 2.00m de profun.</t>
  </si>
  <si>
    <t>03.02.04.02.11</t>
  </si>
  <si>
    <t>Suministro e instalacion de tuberia HD junta acerrojada DN250mm C-40(PFA 16bar) NTP-ISO TNO 1.51m a 1.75m de profun.</t>
  </si>
  <si>
    <t>03.02.04.02.12</t>
  </si>
  <si>
    <t>Suministro e instalacion de tuberia HD junta acerrojada DN250mm C-40(PFA 16bar) NTP-ISO TNO 2.01m a 2.50m de profun.</t>
  </si>
  <si>
    <t>03.02.04.02.13</t>
  </si>
  <si>
    <t>Suministro e instalacion de tuberia HD junta acerrojada DN250mm C-40(PFA 16bar) NTP-ISO TSR 1.51m a 1.75m de profun.</t>
  </si>
  <si>
    <t>03.02.04.02.14</t>
  </si>
  <si>
    <t>Suministro e instalacion de tuberia HD junta acerrojada DN250mm C-40(PFA 16bar) NTP-ISO TSR 2.01m a 2.50m de profun.</t>
  </si>
  <si>
    <t>03.02.04.02.15</t>
  </si>
  <si>
    <t>Suministro e instalacion de tuberia HD junta acerrojada DN250mm C-40(PFA 16bar) NTP-ISO TRO 1.76m a 2.00m de profun.</t>
  </si>
  <si>
    <t>03.02.04.02.16</t>
  </si>
  <si>
    <t>Suministro e instalacion de tuberia HD junta acerrojada DN150mm C-40(PFA 16bar) NTP-ISO TN 2.01m a 2.50m de profun.</t>
  </si>
  <si>
    <t>03.02.04.02.17</t>
  </si>
  <si>
    <t>Suministro e instalacion de tuberia HD junta acerrojada DN250mm C-50(PFA 20bar) NTP-ISO TN 2.01m a 2.50m de profun.</t>
  </si>
  <si>
    <t>03.02.04.02.18</t>
  </si>
  <si>
    <t>Suministro e instalacion de accesorios para linea de CONDUCCION</t>
  </si>
  <si>
    <t>03.02.04.02.19</t>
  </si>
  <si>
    <t>Suministro e instalacion de accesorios acerrojados para linea de CONDUCCION</t>
  </si>
  <si>
    <t>03.02.04.03</t>
  </si>
  <si>
    <t>03.02.04.03.01</t>
  </si>
  <si>
    <t>03.02.04.03.01.01</t>
  </si>
  <si>
    <t>Suministro e instalacion de valvula de control DN 150mm</t>
  </si>
  <si>
    <t>03.02.04.03.01.02</t>
  </si>
  <si>
    <t>Suministro e instalacion de valvula de control DN 250mm</t>
  </si>
  <si>
    <t>03.02.04.03.01.03</t>
  </si>
  <si>
    <t>Válvula aire triple efecto DN 50 en linea de alimentacion DN 250</t>
  </si>
  <si>
    <t>03.02.04.03.01.04</t>
  </si>
  <si>
    <t>Válvula de purga tipo compuerta DN 100 en linea de alimentacion DN 250</t>
  </si>
  <si>
    <t>03.02.04.03.02</t>
  </si>
  <si>
    <t>03.02.04.03.02.01</t>
  </si>
  <si>
    <t>03.02.04.03.02.02</t>
  </si>
  <si>
    <t>03.02.04.04</t>
  </si>
  <si>
    <t>03.02.04.04.01</t>
  </si>
  <si>
    <t>Cruce de pase de redes existentes - linea de conduccion</t>
  </si>
  <si>
    <t>03.02.05</t>
  </si>
  <si>
    <t>LINEAS DE ADUCCIÓN - TRONCAL N°05 - CÁMARA DE DISTRIBUCIÓN (CD-03) A CHOCCO (PTO. "X")</t>
  </si>
  <si>
    <t>03.02.05.01</t>
  </si>
  <si>
    <t>03.02.05.01.01</t>
  </si>
  <si>
    <t>03.02.05.02</t>
  </si>
  <si>
    <t>03.02.05.02.01</t>
  </si>
  <si>
    <t>Suministro e instalacion de tuberia HD DN200mm C-40 en TN 2.01 a 2.50m de profun.</t>
  </si>
  <si>
    <t>03.02.05.02.02</t>
  </si>
  <si>
    <t>Suministro e instalacion de tuberia HD DN200mm C-40 en TSR 2.01 a 2.50m de profun.</t>
  </si>
  <si>
    <t>03.02.05.02.03</t>
  </si>
  <si>
    <t>Suministro e instalacion de tuberia HD DN200mm C-40 en TR 2.01 a 2.50m de profun.</t>
  </si>
  <si>
    <t>03.02.05.02.04</t>
  </si>
  <si>
    <t>03.02.05.02.05</t>
  </si>
  <si>
    <t>Suministro e instalacion de tuberia HD DN150mm C-40 en TSR hasta 2.50m de profun.</t>
  </si>
  <si>
    <t>03.02.05.02.06</t>
  </si>
  <si>
    <t>Suministro e instalacion de tuberia HD junta acerrojada DN200mm C-40(PFA 16bar) NTP-ISO TNO 2.01m a 2.50m de profun.</t>
  </si>
  <si>
    <t>03.02.05.02.07</t>
  </si>
  <si>
    <t>Suministro e instalacion de tuberia HD junta acerrojada DN200mm C-40(PFA 16bar) NTP-ISO TSR 2.01m a 2.50m de profun.</t>
  </si>
  <si>
    <t>03.02.05.02.08</t>
  </si>
  <si>
    <t>Suministro e instalacion de tuberia HD junta acerrojada DN200mm C-40(PFA 16bar) NTP-ISO TRO 2.01m a 2.50m de profun.</t>
  </si>
  <si>
    <t>03.02.05.02.09</t>
  </si>
  <si>
    <t>03.02.05.02.10</t>
  </si>
  <si>
    <t>Suministro e instalacion de tuberia HD junta acerrojada DN150mm C-40(PFA 16bar) NTP-ISO TSR 2.01m a 2.50m de profun.</t>
  </si>
  <si>
    <t>03.02.05.02.11</t>
  </si>
  <si>
    <t>Suministro e instalacion de accesorios para linea de ADUCCION-Troncal N°05</t>
  </si>
  <si>
    <t>03.02.05.02.12</t>
  </si>
  <si>
    <t>Suministro e instalacion de accesorios acerrojadas para linea de ADUCCION-Troncal N°05</t>
  </si>
  <si>
    <t>03.02.05.03</t>
  </si>
  <si>
    <t>03.02.05.03.01</t>
  </si>
  <si>
    <t>CONTROL</t>
  </si>
  <si>
    <t>03.02.05.03.01.01</t>
  </si>
  <si>
    <t>Suministro e instalacion de valvula de control DN 200mm</t>
  </si>
  <si>
    <t>03.02.05.03.01.02</t>
  </si>
  <si>
    <t>03.02.05.03.01.03</t>
  </si>
  <si>
    <t>Válvula aire triple efecto DN 50 en linea de alimentacion DN 200</t>
  </si>
  <si>
    <t>03.02.05.03.01.04</t>
  </si>
  <si>
    <t>Válvula aire triple efecto DN 50 en linea de alimentacion DN 150</t>
  </si>
  <si>
    <t>03.02.05.03.01.05</t>
  </si>
  <si>
    <t>Válvula de purga tipo compuerta DN 100 en linea de alimentacion DN 200</t>
  </si>
  <si>
    <t>03.02.05.03.01.06</t>
  </si>
  <si>
    <t>Válvula de purga tipo compuerta DN 100 en linea de alimentacion DN 150</t>
  </si>
  <si>
    <t>03.02.05.03.02</t>
  </si>
  <si>
    <t>03.02.05.03.02.01</t>
  </si>
  <si>
    <t>03.02.05.03.02.02</t>
  </si>
  <si>
    <t>03.02.05.04</t>
  </si>
  <si>
    <t>03.02.05.04.01</t>
  </si>
  <si>
    <t>Cruce de pase de redes existentes - linea de aduccion - toncal N°05</t>
  </si>
  <si>
    <t>03.02.06</t>
  </si>
  <si>
    <t>LINEAS DE ADUCCIÓN - TRONCAL N°06 - RESERVORIO APOYADO PROYECTADO (RAP-01) A CÁMARA DE  DISTRIBUCIÓN (CD-03)</t>
  </si>
  <si>
    <t>03.02.06.01</t>
  </si>
  <si>
    <t>03.02.06.01.01</t>
  </si>
  <si>
    <t>Suministro e instalacion de tuberia HD DN200mm C-40 en TN 1.26m a 1.50m de profun.</t>
  </si>
  <si>
    <t>03.02.06.01.02</t>
  </si>
  <si>
    <t>Suministro e instalacion de tuberia HD DN200mm C-40 en TSR 1.26m a 1.50m de profun.</t>
  </si>
  <si>
    <t>03.02.06.01.03</t>
  </si>
  <si>
    <t>Suministro e instalacion de tuberia HD DN200mm C-40 en TR 1.26m a 1.50m de profun.</t>
  </si>
  <si>
    <t>03.02.06.01.04</t>
  </si>
  <si>
    <t>Suministro e instalacion de tuberia HD junta acerrojada DN200mm C-40(PFA 16bar) NTP-ISO TNO 1.26m a 1.50m de profun.</t>
  </si>
  <si>
    <t>03.02.06.01.05</t>
  </si>
  <si>
    <t>Suministro e instalacion de tuberia HD junta acerrojada DN200mm C-40(PFA 16bar) NTP-ISO TSR 1.26m a 1.50m de profun.</t>
  </si>
  <si>
    <t>03.02.06.01.06</t>
  </si>
  <si>
    <t>Suministro e instalacion de tuberia HD junta acerrojada DN200mm C-40(PFA 16bar) NTP-ISO TRO 1.26m a 1.50m de profun.</t>
  </si>
  <si>
    <t>03.02.06.01.07</t>
  </si>
  <si>
    <t>Suministro e instalacion de accesorios para linea de ADUCCION-TRNCAL N°06</t>
  </si>
  <si>
    <t>03.02.06.01.08</t>
  </si>
  <si>
    <t>Suministro e instalacion de accesorios acerrojadas para linea de ADUCCION-TRNCAL N°06</t>
  </si>
  <si>
    <t>03.02.06.02</t>
  </si>
  <si>
    <t>03.02.06.02.01</t>
  </si>
  <si>
    <t>03.02.06.02.01.01</t>
  </si>
  <si>
    <t>03.02.06.02.01.02</t>
  </si>
  <si>
    <t>03.02.06.02.01.03</t>
  </si>
  <si>
    <t>Suministro e instalacion hidraulica para cámara de derivación en linea DN 200 HFD</t>
  </si>
  <si>
    <t>03.02.06.02.02</t>
  </si>
  <si>
    <t>03.02.06.02.02.01</t>
  </si>
  <si>
    <t>03.02.06.02.02.02</t>
  </si>
  <si>
    <t>03.02.06.02.02.03</t>
  </si>
  <si>
    <t>03.02.06.02.02.04</t>
  </si>
  <si>
    <t>Cámara tipo cuadrada p/cámara de derivación en t.rocoso de 2,51 - 3,00 m prof. (Cemento P-V o HS)</t>
  </si>
  <si>
    <t>03.02.07</t>
  </si>
  <si>
    <t>LINEAS DE ADUCCIÓN - TRONCAL N°07 - CÁMARA DE DISTRIBUCIÓN (CD-02) A MARGEN DERECHA I (PTO. "T")</t>
  </si>
  <si>
    <t>03.02.07.01</t>
  </si>
  <si>
    <t>03.02.07.01.01</t>
  </si>
  <si>
    <t>Suministro e instalacion de tuberia HD DN90mm C-40 en TR 1.01m a 1.25m de profun.</t>
  </si>
  <si>
    <t>03.02.07.01.02</t>
  </si>
  <si>
    <t>Suministro e instalacion de tuberia HD junta acerrojada DN90mm C-40(PFA 24bar) NTP-ISO TRO 1.01m a 1.25m de profun.</t>
  </si>
  <si>
    <t>03.02.07.01.03</t>
  </si>
  <si>
    <t>Suministro e instalacion de accesorios para linea de ADUCCION-TRONCAL N°07</t>
  </si>
  <si>
    <t>03.02.07.01.04</t>
  </si>
  <si>
    <t>Suministro e instalacion de accesorios acerrojados para linea de ADUCCION-TRONCAL N°07</t>
  </si>
  <si>
    <t>03.02.07.02</t>
  </si>
  <si>
    <t>03.02.07.02.01</t>
  </si>
  <si>
    <t>03.02.07.02.01.01</t>
  </si>
  <si>
    <t>Válvula de aire triple efecto DN  25 en red DN 90mm</t>
  </si>
  <si>
    <t>03.02.07.02.01.02</t>
  </si>
  <si>
    <t>Suministro e instalacion hidraulica para cámara de derivación en linea DN 90 HFD</t>
  </si>
  <si>
    <t>03.02.07.02.02</t>
  </si>
  <si>
    <t>03.02.07.02.02.01</t>
  </si>
  <si>
    <t>03.02.07.02.02.02</t>
  </si>
  <si>
    <t>03.02.08</t>
  </si>
  <si>
    <t>LINEAS DE ADUCCIÓN - TRONCAL N°08 - CÁMARA DE DISTRIBUCIÓN (CD-03) A ARAHUAY (PTO. "Y")</t>
  </si>
  <si>
    <t>03.02.08.01</t>
  </si>
  <si>
    <t>03.02.08.01.01</t>
  </si>
  <si>
    <t>Suministro e instalacion de tuberia HD DN100mm C-40 en TN 1.01m a 1.25m de profun.</t>
  </si>
  <si>
    <t>03.02.08.01.02</t>
  </si>
  <si>
    <t>Suministro e instalacion de tuberia HD DN100mm C-40 en TSR 1.01m a 1.25m de profun.</t>
  </si>
  <si>
    <t>03.02.08.01.03</t>
  </si>
  <si>
    <t>Suministro e instalacion de tuberia HD DN100mm C-40 en TR 1.01m a 1.25m de profun.</t>
  </si>
  <si>
    <t>03.02.08.01.04</t>
  </si>
  <si>
    <t>Suministro e instalacion de tuberia HD junta acerrojada DN100mm C-40(PFA 16bar) NTP-ISO TNO 1.01m a 1.25m de profun.</t>
  </si>
  <si>
    <t>03.02.08.01.05</t>
  </si>
  <si>
    <t>Suministro e instalacion de tuberia HD junta acerrojada DN100mm C-40(PFA 16bar) NTP-ISO TSR 1.01m a 1.25m de profun.</t>
  </si>
  <si>
    <t>03.02.08.01.06</t>
  </si>
  <si>
    <t>Suministro e instalacion de tuberia HD junta acerrojada DN100mm C-40(PFA 16bar) NTP-ISO TRO 1.01m a 1.25m de profun.</t>
  </si>
  <si>
    <t>03.02.08.01.07</t>
  </si>
  <si>
    <t>Suministro e instalacion de accesorios para linea de ADUCCION-TRONCAL N°08</t>
  </si>
  <si>
    <t>03.02.08.01.08</t>
  </si>
  <si>
    <t>Suministro e instalacion de accesorios acerrojadas para linea de ADUCCION-TRONCAL N°08</t>
  </si>
  <si>
    <t>03.02.08.02</t>
  </si>
  <si>
    <t>03.02.08.02.01</t>
  </si>
  <si>
    <t>03.02.08.02.01.01</t>
  </si>
  <si>
    <t>Válvula de aire triple efecto DN  50 en red DN 100mm</t>
  </si>
  <si>
    <t>03.02.08.02.01.02</t>
  </si>
  <si>
    <t>Válvula de purga tipo compuerta DN 50 en red DN 100mm</t>
  </si>
  <si>
    <t>03.02.08.02.02</t>
  </si>
  <si>
    <t>03.02.08.02.02.01</t>
  </si>
  <si>
    <t>03.02.08.02.02.02</t>
  </si>
  <si>
    <t>03.02.08.02.02.03</t>
  </si>
  <si>
    <t>03.02.09</t>
  </si>
  <si>
    <t>LINEAS DE ADUCCIÓN - TRONCAL N°09 - CÁMARA DE DISTRIBUCIÓN (CD-03) A CHOCCO (PTO. "X")</t>
  </si>
  <si>
    <t>03.02.09.01</t>
  </si>
  <si>
    <t>03.02.09.01.01</t>
  </si>
  <si>
    <t>03.02.09.01.02</t>
  </si>
  <si>
    <t>03.02.09.01.03</t>
  </si>
  <si>
    <t>03.02.09.01.04</t>
  </si>
  <si>
    <t>03.02.09.01.05</t>
  </si>
  <si>
    <t>03.02.09.01.06</t>
  </si>
  <si>
    <t>03.02.09.01.07</t>
  </si>
  <si>
    <t>Suministro e instalacion de accesorios para linea de ADUCCION-TRONCAL N°09</t>
  </si>
  <si>
    <t>03.02.09.01.08</t>
  </si>
  <si>
    <t>Suministro e instalacion de accesorios acerrojados para linea de ADUCCION-TRONCAL N°09</t>
  </si>
  <si>
    <t>03.02.09.02</t>
  </si>
  <si>
    <t>03.02.09.02.01</t>
  </si>
  <si>
    <t>03.02.09.02.01.01</t>
  </si>
  <si>
    <t>03.02.09.02.02</t>
  </si>
  <si>
    <t>03.02.09.02.02.01</t>
  </si>
  <si>
    <t>03.02.10</t>
  </si>
  <si>
    <t>LINEAS DE ADUCCIÓN - TRONCAL N°10 - RESERVORIO APOYADO PROYECTADO(RAP-02) A TANKARPATA (PTO. "P")</t>
  </si>
  <si>
    <t>03.02.10.01</t>
  </si>
  <si>
    <t>03.02.10.01.01</t>
  </si>
  <si>
    <t>03.02.10.01.02</t>
  </si>
  <si>
    <t>03.02.10.02</t>
  </si>
  <si>
    <t>03.02.10.02.01</t>
  </si>
  <si>
    <t>03.02.10.02.02</t>
  </si>
  <si>
    <t>03.02.10.02.03</t>
  </si>
  <si>
    <t>03.02.10.02.04</t>
  </si>
  <si>
    <t>03.02.10.02.05</t>
  </si>
  <si>
    <t>03.02.10.02.06</t>
  </si>
  <si>
    <t>03.02.10.02.07</t>
  </si>
  <si>
    <t>Suministro e instalacion de accesorios para linea de ADUCCION-TRONCAL  N°10</t>
  </si>
  <si>
    <t>03.02.10.02.08</t>
  </si>
  <si>
    <t>Suministro e instalacion de accesorios acerrojados para linea de ADUCCION-TRONCAL  N°10</t>
  </si>
  <si>
    <t>03.02.10.03</t>
  </si>
  <si>
    <t>03.02.10.03.01</t>
  </si>
  <si>
    <t>03.02.10.03.01.01</t>
  </si>
  <si>
    <t>03.02.10.03.01.02</t>
  </si>
  <si>
    <t>03.02.10.03.01.03</t>
  </si>
  <si>
    <t>03.02.10.03.02</t>
  </si>
  <si>
    <t>03.02.10.03.02.01</t>
  </si>
  <si>
    <t>03.02.10.03.02.02</t>
  </si>
  <si>
    <t>03.02.10.03.02.03</t>
  </si>
  <si>
    <t>03.02.10.03.02.04</t>
  </si>
  <si>
    <t>03.02.10.04</t>
  </si>
  <si>
    <t>03.02.10.04.01</t>
  </si>
  <si>
    <t>Cruce de pase de redes existentes - linea de aduccion - troncal N°10</t>
  </si>
  <si>
    <t>REDES SECUNDARIAS DE AGUA POTABLE</t>
  </si>
  <si>
    <t>03.03.01</t>
  </si>
  <si>
    <t>AREA DE INFLUENCIA DEL RAP-01</t>
  </si>
  <si>
    <t>03.03.01.01</t>
  </si>
  <si>
    <t>03.03.01.01.01</t>
  </si>
  <si>
    <t>Reubicacion de Poste de Alumbrado</t>
  </si>
  <si>
    <t>03.03.01.01.02</t>
  </si>
  <si>
    <t>Proteccion de redes existentes de agua potable</t>
  </si>
  <si>
    <t>03.03.01.01.03</t>
  </si>
  <si>
    <t>Proteccion de redes existentes de alcantarillado</t>
  </si>
  <si>
    <t>03.03.01.01.04</t>
  </si>
  <si>
    <t>03.03.01.02</t>
  </si>
  <si>
    <t>03.03.01.02.01</t>
  </si>
  <si>
    <t>Suministro e instalacion de tuberia HDPE PE 100 SDR 17 DN63mm en TN hasta 1.50m de profun.</t>
  </si>
  <si>
    <t>03.03.01.02.02</t>
  </si>
  <si>
    <t>Suministro e instalacion de tuberia HDPE PE 100 SDR 17 DN63mm en TSR hasta 1.50m de profun.</t>
  </si>
  <si>
    <t>03.03.01.02.03</t>
  </si>
  <si>
    <t>Suministro e instalacion de tuberia HDPE PE 100 SDR 17 DN63mm en TR hasta 1.50m de profun.</t>
  </si>
  <si>
    <t>03.03.01.02.04</t>
  </si>
  <si>
    <t>Suministro e instalacion de tuberia HDPE PE 100 SDR 17 DN90mm en TN hasta 1.50m de profun.</t>
  </si>
  <si>
    <t>03.03.01.02.05</t>
  </si>
  <si>
    <t>Suministro e instalacion de tuberia HDPE PE 100 SDR 17 DN90mm en TSR hasta 1.50m de profun.</t>
  </si>
  <si>
    <t>03.03.01.02.06</t>
  </si>
  <si>
    <t>Suministro e instalacion de tuberia HDPE PE 100 SDR 17 DN90mm en TR hasta 1.50m de profun.</t>
  </si>
  <si>
    <t>03.03.01.02.07</t>
  </si>
  <si>
    <t>Suministro e instalacion de tuberia HDPE PE 100 SDR 17 DN100mm en TSR hasta 1.50m de profun.</t>
  </si>
  <si>
    <t>03.03.01.02.08</t>
  </si>
  <si>
    <t>Suministro e instalacion de tuberia HDPE PE 100 SDR 17 DN100mm en TR hasta 1.50m de profun.</t>
  </si>
  <si>
    <t>03.03.01.02.09</t>
  </si>
  <si>
    <t>Suministro e instalacion de tuberia HD DN100mm C-40 en TN hasta 1.50m de profun.</t>
  </si>
  <si>
    <t>03.03.01.02.10</t>
  </si>
  <si>
    <t>Suministro e instalacion de tuberia HD DN150mm C-40 en TN hasta 1.50m de profun.</t>
  </si>
  <si>
    <t>03.03.01.02.11</t>
  </si>
  <si>
    <t>Suministro e instalacion de accesorios para RAP-01</t>
  </si>
  <si>
    <t>03.03.01.02.12</t>
  </si>
  <si>
    <t>Suministro e instalacion de tuberia HDPE PE 100 SDR 17 DN100mm en TN hasta 1.50m de profun.</t>
  </si>
  <si>
    <t>03.03.01.02.13</t>
  </si>
  <si>
    <t>Suministro e instalacion de tuberia HD DN90mm C-40 en TN hasta 1.50m de profun.</t>
  </si>
  <si>
    <t>03.03.01.03</t>
  </si>
  <si>
    <t>GRIFOS CONTRA INCENDIOs</t>
  </si>
  <si>
    <t>03.03.01.03.01</t>
  </si>
  <si>
    <t>Suministro e instalacion de grifo y acces. C/Iincendio Ho. díctil 2 bocas tipo poste cuerpo seco NTP 350.102:2001 DN 90</t>
  </si>
  <si>
    <t>03.03.01.03.02</t>
  </si>
  <si>
    <t>Suministro e instalacion de grifo y acces. C/Iincendio Ho. díctil 2 bocas tipo poste cuerpo seco NTP 350.102:2001 DN 110</t>
  </si>
  <si>
    <t>03.03.01.04</t>
  </si>
  <si>
    <t>VALVULAS DE CONTROL</t>
  </si>
  <si>
    <t>03.03.01.04.01</t>
  </si>
  <si>
    <t>Suministro e instalacion de valvula de control DN 50mm</t>
  </si>
  <si>
    <t>03.03.01.04.02</t>
  </si>
  <si>
    <t>Suministro e instalacion de valvula de control DN 80mm</t>
  </si>
  <si>
    <t>03.03.01.04.03</t>
  </si>
  <si>
    <t>Suministro e instalacion de valvula de control DN 100mm</t>
  </si>
  <si>
    <t>03.03.01.04.04</t>
  </si>
  <si>
    <t>03.03.01.05</t>
  </si>
  <si>
    <t>03.03.01.05.01</t>
  </si>
  <si>
    <t>03.03.01.05.01.01</t>
  </si>
  <si>
    <t>Válvula de aire triple efecto DN  50 en red DN 63mm</t>
  </si>
  <si>
    <t>03.03.01.05.01.02</t>
  </si>
  <si>
    <t>Válvula de aire triple efecto DN  50 en red DN 90mm</t>
  </si>
  <si>
    <t>03.03.01.05.01.03</t>
  </si>
  <si>
    <t>Válvula de purga tipo compuerta DN 50 en red DN 63mm</t>
  </si>
  <si>
    <t>03.03.01.05.01.04</t>
  </si>
  <si>
    <t>Válvula de purga tipo compuerta DN 50 en red DN 90mm</t>
  </si>
  <si>
    <t>03.03.01.05.02</t>
  </si>
  <si>
    <t>03.03.01.05.02.01</t>
  </si>
  <si>
    <t>03.03.01.05.02.02</t>
  </si>
  <si>
    <t>03.03.01.05.02.03</t>
  </si>
  <si>
    <t>03.03.01.05.02.04</t>
  </si>
  <si>
    <t>03.03.01.05.02.05</t>
  </si>
  <si>
    <t>03.03.01.06</t>
  </si>
  <si>
    <t>CAMARAS REDUCTORAS DE PRESION</t>
  </si>
  <si>
    <t>03.03.01.06.01</t>
  </si>
  <si>
    <t>03.03.01.06.01.01</t>
  </si>
  <si>
    <t>Suministro Instalaciones hidraulicas p/camara rompe presion CRP-01</t>
  </si>
  <si>
    <t>03.03.01.06.01.02</t>
  </si>
  <si>
    <t>Suministro Instalaciones hidraulicas p/camara rompe presion CRP-03</t>
  </si>
  <si>
    <t>03.03.01.06.01.03</t>
  </si>
  <si>
    <t>Suministro Instalaciones hidraulicas p/camara rompe presion CRP-05</t>
  </si>
  <si>
    <t>03.03.01.06.01.04</t>
  </si>
  <si>
    <t>Suministro Instalaciones hidraulicas p/camara rompe presion CRP-06</t>
  </si>
  <si>
    <t>03.03.01.06.01.05</t>
  </si>
  <si>
    <t>Suministro Instalaciones hidraulicas p/camara rompe presion CRP-07</t>
  </si>
  <si>
    <t>03.03.01.06.01.06</t>
  </si>
  <si>
    <t>Suministro Instalaciones hidraulicas p/camara rompe presion CRP-09</t>
  </si>
  <si>
    <t>03.03.01.06.01.07</t>
  </si>
  <si>
    <t>Suministro Instalaciones hidraulicas p/camara rompe presion CRP-10</t>
  </si>
  <si>
    <t>03.03.01.06.01.08</t>
  </si>
  <si>
    <t>Suministro Instalaciones hidraulicas p/camara rompe presion CRP-11</t>
  </si>
  <si>
    <t>03.03.01.06.01.09</t>
  </si>
  <si>
    <t>Suministro Instalaciones hidraulicas p/camara rompe presion CRP-12</t>
  </si>
  <si>
    <t>03.03.01.06.01.10</t>
  </si>
  <si>
    <t>Suministro Instalaciones hidraulicas p/camara rompe presion CRP-14</t>
  </si>
  <si>
    <t>03.03.01.06.01.11</t>
  </si>
  <si>
    <t>Suministro Instalaciones hidraulicas p/camara rompe presion CRP-16</t>
  </si>
  <si>
    <t>03.03.01.06.01.12</t>
  </si>
  <si>
    <t>Suministro Instalaciones hidraulicas p/camara rompe presion CRP-17</t>
  </si>
  <si>
    <t>03.03.01.06.01.13</t>
  </si>
  <si>
    <t>Suministro Instalaciones hidraulicas p/camara rompe presion CRP-18</t>
  </si>
  <si>
    <t>03.03.01.06.01.14</t>
  </si>
  <si>
    <t>Suministro Instalaciones hidraulicas p/camara rompe presion CRP-19</t>
  </si>
  <si>
    <t>03.03.01.06.01.15</t>
  </si>
  <si>
    <t>Suministro Instalaciones hidraulicas p/camara rompe presion CRP-21</t>
  </si>
  <si>
    <t>03.03.01.06.01.16</t>
  </si>
  <si>
    <t>Suministro Instalaciones hidraulicas p/camara rompe presion CRP-24</t>
  </si>
  <si>
    <t>03.03.01.06.01.17</t>
  </si>
  <si>
    <t>Suministro Instalaciones hidraulicas p/camara rompe presion CRP-25</t>
  </si>
  <si>
    <t>03.03.01.06.01.18</t>
  </si>
  <si>
    <t>Suministro Instalaciones hidraulicas p/camara rompe presion CRP-T1</t>
  </si>
  <si>
    <t>03.03.01.06.01.19</t>
  </si>
  <si>
    <t>Suministro Instalaciones hidraulicas p/camara rompe presion CRP-T2</t>
  </si>
  <si>
    <t>03.03.01.06.01.20</t>
  </si>
  <si>
    <t>Suministro Instalaciones hidraulicas p/camara rompe presion CRP-T3</t>
  </si>
  <si>
    <t>03.03.01.06.02</t>
  </si>
  <si>
    <t>03.03.01.06.02.01</t>
  </si>
  <si>
    <t>Cámara reductora de presion tipo I (B=1.50m, L=2.50m) en t. normal</t>
  </si>
  <si>
    <t>03.03.01.06.02.02</t>
  </si>
  <si>
    <t>Cámara reductora de presion tipo I (B=1.50m, L=2.50m) en t. semirocoso</t>
  </si>
  <si>
    <t>03.03.01.06.02.03</t>
  </si>
  <si>
    <t>Cámara reductora de presion tipo I (B=1.50m, L=2.50m) en t. rocoso</t>
  </si>
  <si>
    <t>03.03.01.06.02.04</t>
  </si>
  <si>
    <t>Cámara reductora de presion tipo I (B=1.50m, L=2.70m) en t. normal</t>
  </si>
  <si>
    <t>03.03.01.06.02.05</t>
  </si>
  <si>
    <t>Cámara reductora de presion tipo II (B=1.55m, L=3.00m) en t. normal</t>
  </si>
  <si>
    <t>03.03.01.06.02.06</t>
  </si>
  <si>
    <t>Cámara reductora de presion tipo II (B=1.65m, L=3.80m) en t. normal</t>
  </si>
  <si>
    <t>03.03.01.06.02.07</t>
  </si>
  <si>
    <t>Cámara reductora de presion tipo II (B=1.65m, L=3.80m) en t. semirocoso</t>
  </si>
  <si>
    <t>03.03.01.06.02.08</t>
  </si>
  <si>
    <t>Cámara reductora de presion tipo II (B=1.65m, L=4.30m) en t. normal</t>
  </si>
  <si>
    <t>03.03.01.06.02.09</t>
  </si>
  <si>
    <t>Cámara reductora de presion tipo II (B=1.65m, L=4.30m) en t. rocoso</t>
  </si>
  <si>
    <t>03.03.01.07</t>
  </si>
  <si>
    <t>EMPALME Y CORTE DE REDES DE DISTRIBUCION</t>
  </si>
  <si>
    <t>03.03.01.07.01</t>
  </si>
  <si>
    <t>Suministro e instalacion de accesorios para empalmes y cortes en RAP-01</t>
  </si>
  <si>
    <t>03.03.01.08</t>
  </si>
  <si>
    <t>03.03.01.08.01</t>
  </si>
  <si>
    <t>03.03.01.08.02</t>
  </si>
  <si>
    <t>Corte+rotura, ED y reposic. de pavimento rígido f'c 210 kg/cm2 de  e= 6"</t>
  </si>
  <si>
    <t>03.03.01.08.03</t>
  </si>
  <si>
    <t>Reposición de jardines</t>
  </si>
  <si>
    <t>03.03.01.08.04</t>
  </si>
  <si>
    <t>Corte+rotura, ED y reposición de vereda  rígida f'c 175 kg/cm2 de 10 cm espesor</t>
  </si>
  <si>
    <t>03.03.02</t>
  </si>
  <si>
    <t>AREA DE INFLUENCIA DEL RAP-02</t>
  </si>
  <si>
    <t>03.03.02.01</t>
  </si>
  <si>
    <t>03.03.02.01.01</t>
  </si>
  <si>
    <t>03.03.02.01.02</t>
  </si>
  <si>
    <t>03.03.02.01.03</t>
  </si>
  <si>
    <t>03.03.02.02</t>
  </si>
  <si>
    <t>03.03.02.02.01</t>
  </si>
  <si>
    <t>03.03.02.02.02</t>
  </si>
  <si>
    <t>03.03.02.02.03</t>
  </si>
  <si>
    <t>03.03.02.02.04</t>
  </si>
  <si>
    <t>03.03.02.02.05</t>
  </si>
  <si>
    <t>03.03.02.02.06</t>
  </si>
  <si>
    <t>03.03.02.02.07</t>
  </si>
  <si>
    <t>03.03.02.02.08</t>
  </si>
  <si>
    <t>03.03.02.02.09</t>
  </si>
  <si>
    <t>03.03.02.02.10</t>
  </si>
  <si>
    <t>Suministro e instalacion de tuberia HDPE PE 100 SDR 17 DN160mm en TN hasta 1.50m de profun.</t>
  </si>
  <si>
    <t>03.03.02.02.11</t>
  </si>
  <si>
    <t>03.03.02.02.12</t>
  </si>
  <si>
    <t>Suministro e instalacion de tuberia HD DN90mm C-40 en TSR hasta 1.50m de profun.</t>
  </si>
  <si>
    <t>03.03.02.02.13</t>
  </si>
  <si>
    <t>03.03.02.02.14</t>
  </si>
  <si>
    <t>Suministro e instalacion de tuberia HD DN100mm C-40 en TSR hasta 1.50m de profun.</t>
  </si>
  <si>
    <t>03.03.02.02.15</t>
  </si>
  <si>
    <t>Suministro e instalacion de tuberia HD DN100mm C-40 en TR hasta 1.50m de profun.</t>
  </si>
  <si>
    <t>03.03.02.02.16</t>
  </si>
  <si>
    <t>03.03.02.02.17</t>
  </si>
  <si>
    <t>Suministro e instalacion de tuberia HD DN150mm C-40 en TSR hasta 1.50m de profun.</t>
  </si>
  <si>
    <t>03.03.02.02.18</t>
  </si>
  <si>
    <t>Suministro e instalacion de tuberia HD DN150mm C-40 en TR hasta 1.50m de profun.</t>
  </si>
  <si>
    <t>03.03.02.02.19</t>
  </si>
  <si>
    <t>Suministro e instalacion de accesorios para RAP-02</t>
  </si>
  <si>
    <t>03.03.02.03</t>
  </si>
  <si>
    <t>GRIFOS CONTRA INCENDIOS</t>
  </si>
  <si>
    <t>03.03.02.03.01</t>
  </si>
  <si>
    <t>Suministro e instalación de grifo y acces. C/Incendio Ho. dúctil 2 bocas tipo poste cuerpo seco NTP 350.102:2001 DN 63</t>
  </si>
  <si>
    <t>03.03.02.03.02</t>
  </si>
  <si>
    <t>Suministro e instalación de grifo y acces. C/Incendio Ho. dúctil 2 bocas tipo poste cuerpo seco NTP 350.102:2001 DN 90</t>
  </si>
  <si>
    <t>03.03.02.03.03</t>
  </si>
  <si>
    <t>Suministro e instalación de grifo y acces. C/Incendio Ho. dúctil 2 bocas tipo poste cuerpo seco NTP 350.102:2001 DN 110</t>
  </si>
  <si>
    <t>03.03.02.04</t>
  </si>
  <si>
    <t>03.03.02.04.01</t>
  </si>
  <si>
    <t>03.03.02.04.02</t>
  </si>
  <si>
    <t>03.03.02.04.03</t>
  </si>
  <si>
    <t>03.03.02.04.04</t>
  </si>
  <si>
    <t>03.03.02.05.01</t>
  </si>
  <si>
    <t>03.03.02.05.01.01</t>
  </si>
  <si>
    <t>03.03.02.05.01.02</t>
  </si>
  <si>
    <t>03.03.02.05.01.03</t>
  </si>
  <si>
    <t>03.03.02.05.01.04</t>
  </si>
  <si>
    <t>Válvula de aire triple efecto DN  50 en red DN 160mm</t>
  </si>
  <si>
    <t>03.03.02.05.01.05</t>
  </si>
  <si>
    <t>03.03.02.05.01.06</t>
  </si>
  <si>
    <t>03.03.02.05.01.07</t>
  </si>
  <si>
    <t>03.03.02.05.02</t>
  </si>
  <si>
    <t>03.03.02.05.02.01</t>
  </si>
  <si>
    <t>03.03.02.05.02.02</t>
  </si>
  <si>
    <t>03.03.02.05.02.03</t>
  </si>
  <si>
    <t>03.03.02.05.02.04</t>
  </si>
  <si>
    <t>03.03.02.05.02.05</t>
  </si>
  <si>
    <t>03.03.02.06.01</t>
  </si>
  <si>
    <t>03.03.02.06.01.01</t>
  </si>
  <si>
    <t>Suministro Instalaciones hidraulicas p/camara rompe presion CRP-02</t>
  </si>
  <si>
    <t>03.03.02.06.01.02</t>
  </si>
  <si>
    <t>03.03.02.06.01.03</t>
  </si>
  <si>
    <t>Suministro Instalaciones hidraulicas p/camara rompe presion CRP-04</t>
  </si>
  <si>
    <t>03.03.02.06.01.04</t>
  </si>
  <si>
    <t>03.03.02.06.01.05</t>
  </si>
  <si>
    <t>03.03.02.06.01.06</t>
  </si>
  <si>
    <t>03.03.02.06.01.07</t>
  </si>
  <si>
    <t>Suministro Instalaciones hidraulicas p/camara rompe presion CRP-08</t>
  </si>
  <si>
    <t>03.03.02.06.01.08</t>
  </si>
  <si>
    <t>03.03.02.06.01.09</t>
  </si>
  <si>
    <t>03.03.02.06.01.10</t>
  </si>
  <si>
    <t>03.03.02.06.01.11</t>
  </si>
  <si>
    <t>03.03.02.06.01.12</t>
  </si>
  <si>
    <t>Suministro Instalaciones hidraulicas p/camara rompe presion CRP-13</t>
  </si>
  <si>
    <t>03.03.02.06.01.13</t>
  </si>
  <si>
    <t>03.03.02.06.01.14</t>
  </si>
  <si>
    <t>Suministro Instalaciones hidraulicas p/camara rompe presion CRP-15</t>
  </si>
  <si>
    <t>03.03.02.06.01.15</t>
  </si>
  <si>
    <t>03.03.02.06.01.16</t>
  </si>
  <si>
    <t>03.03.02.06.01.17</t>
  </si>
  <si>
    <t>03.03.02.06.01.18</t>
  </si>
  <si>
    <t>03.03.02.06.01.19</t>
  </si>
  <si>
    <t>Suministro Instalaciones hidraulicas p/camara rompe presion CRP-20</t>
  </si>
  <si>
    <t>03.03.02.06.01.20</t>
  </si>
  <si>
    <t>03.03.02.06.01.21</t>
  </si>
  <si>
    <t>Suministro Instalaciones hidraulicas p/camara rompe presion CRP-22</t>
  </si>
  <si>
    <t>03.03.02.06.01.22</t>
  </si>
  <si>
    <t>Suministro Instalaciones hidraulicas p/camara rompe presion CRP-23</t>
  </si>
  <si>
    <t>03.03.02.06.01.23</t>
  </si>
  <si>
    <t>03.03.02.06.01.24</t>
  </si>
  <si>
    <t>03.03.02.06.01.25</t>
  </si>
  <si>
    <t>Suministro Instalaciones hidraulicas p/camara rompe presion CRP-26</t>
  </si>
  <si>
    <t>03.03.02.06.01.26</t>
  </si>
  <si>
    <t>Suministro Instalaciones hidraulicas p/camara rompe presion CRP-27</t>
  </si>
  <si>
    <t>03.03.02.06.01.27</t>
  </si>
  <si>
    <t>Suministro Instalaciones hidraulicas p/camara rompe presion CRP-29</t>
  </si>
  <si>
    <t>03.03.02.06.01.28</t>
  </si>
  <si>
    <t>Suministro Instalaciones hidraulicas p/camara rompe presion CRP-30</t>
  </si>
  <si>
    <t>03.03.02.06.01.29</t>
  </si>
  <si>
    <t>Suministro Instalaciones hidraulicas p/camara rompe presion CRP-31</t>
  </si>
  <si>
    <t>03.03.02.06.01.30</t>
  </si>
  <si>
    <t>Suministro Instalaciones hidraulicas p/camara rompe presion CRP-32</t>
  </si>
  <si>
    <t>03.03.02.06.01.31</t>
  </si>
  <si>
    <t>Suministro Instalaciones hidraulicas p/camara rompe presion CRP-33</t>
  </si>
  <si>
    <t>03.03.02.06.01.32</t>
  </si>
  <si>
    <t>Suministro Instalaciones hidraulicas p/camara rompe presion CRP-34</t>
  </si>
  <si>
    <t>03.03.02.06.01.33</t>
  </si>
  <si>
    <t>Suministro Instalaciones hidraulicas p/camara rompe presion CRP-35</t>
  </si>
  <si>
    <t>03.03.02.06.01.34</t>
  </si>
  <si>
    <t>Suministro Instalaciones hidraulicas p/camara rompe presion CRP-36</t>
  </si>
  <si>
    <t>03.03.02.06.01.35</t>
  </si>
  <si>
    <t>Suministro Instalaciones hidraulicas p/camara rompe presion CRP-37</t>
  </si>
  <si>
    <t>03.03.02.06.01.36</t>
  </si>
  <si>
    <t>Suministro Instalaciones hidraulicas p/camara rompe presion CRP-38</t>
  </si>
  <si>
    <t>03.03.02.06.01.37</t>
  </si>
  <si>
    <t>Suministro Instalaciones hidraulicas p/camara rompe presion CRP-39</t>
  </si>
  <si>
    <t>03.03.02.06.01.38</t>
  </si>
  <si>
    <t>Suministro Instalaciones hidraulicas p/camara rompe presion CRP-77</t>
  </si>
  <si>
    <t>03.03.02.06.01.39</t>
  </si>
  <si>
    <t>Suministro Instalaciones hidraulicas p/camara rompe presion CRP-78</t>
  </si>
  <si>
    <t>03.03.02.06.01.40</t>
  </si>
  <si>
    <t>Suministro Instalaciones hidraulicas p/camara rompe presion CRP-80</t>
  </si>
  <si>
    <t>03.03.02.06.02</t>
  </si>
  <si>
    <t>03.03.02.06.02.01</t>
  </si>
  <si>
    <t>03.03.02.06.02.02</t>
  </si>
  <si>
    <t>03.03.02.06.02.03</t>
  </si>
  <si>
    <t>03.03.02.06.02.04</t>
  </si>
  <si>
    <t>03.03.02.06.02.05</t>
  </si>
  <si>
    <t>Cámara reductora de presion tipo I (B=1.50m, L=2.70m) en t. semirocoso</t>
  </si>
  <si>
    <t>03.03.02.06.02.06</t>
  </si>
  <si>
    <t>Cámara reductora de presion tipo I (B=1.50m, L=2.70m) en t. rocoso</t>
  </si>
  <si>
    <t>03.03.02.06.02.07</t>
  </si>
  <si>
    <t>Cámara reductora de presion tipo I (B=1.50m, L=2.95m) en t. normal</t>
  </si>
  <si>
    <t>03.03.02.06.02.08</t>
  </si>
  <si>
    <t>Cámara reductora de presion tipo I (B=1.50m, L=2.95m) en t. semirocoso</t>
  </si>
  <si>
    <t>03.03.02.06.02.09</t>
  </si>
  <si>
    <t>Cámara reductora de presion tipo I (B=1.50m, L=2.95m) en t. rocoso</t>
  </si>
  <si>
    <t>03.03.02.06.02.10</t>
  </si>
  <si>
    <t>Cámara reductora de presion tipo II (B=1.55m, L=2.90m) en t. normal</t>
  </si>
  <si>
    <t>03.03.02.06.02.11</t>
  </si>
  <si>
    <t>Cámara reductora de presion tipo II (B=1.55m, L=2.90m) en t. rocoso</t>
  </si>
  <si>
    <t>03.03.02.06.02.12</t>
  </si>
  <si>
    <t>03.03.02.06.02.13</t>
  </si>
  <si>
    <t>Cámara reductora de presion tipo II (B=1.55m, L=3.30m) en t. rocoso</t>
  </si>
  <si>
    <t>03.03.02.06.02.14</t>
  </si>
  <si>
    <t>Cámara reductora de presion tipo IV (B=1.60m, L=3.20m) en t. normal</t>
  </si>
  <si>
    <t>03.03.02.06.02.15</t>
  </si>
  <si>
    <t>Cámara reductora de presion tipo IV (B=1.60m, L=3.20m) en t. rocoso</t>
  </si>
  <si>
    <t>03.03.02.07</t>
  </si>
  <si>
    <t>03.03.02.07.01</t>
  </si>
  <si>
    <t>Suministro e instalacion de accesorios para empalmes y cortes en RAP-02</t>
  </si>
  <si>
    <t>03.03.02.08</t>
  </si>
  <si>
    <t>03.03.02.08.01</t>
  </si>
  <si>
    <t>03.03.02.08.02</t>
  </si>
  <si>
    <t>03.03.02.08.03</t>
  </si>
  <si>
    <t>Corte+rotura, ED y reposic. de  escalera de concreto simple</t>
  </si>
  <si>
    <t>03.03.03</t>
  </si>
  <si>
    <t>AREA DE INFLUENCIA DEL RAE-01</t>
  </si>
  <si>
    <t>03.03.03.01</t>
  </si>
  <si>
    <t>03.03.03.01.01</t>
  </si>
  <si>
    <t>03.03.03.01.02</t>
  </si>
  <si>
    <t>03.03.03.01.03</t>
  </si>
  <si>
    <t>03.03.03.02</t>
  </si>
  <si>
    <t>03.03.03.02.01</t>
  </si>
  <si>
    <t>Suministro e instalacion de tuberia PVC-U PN 10 DN63mm en TN hasta 1.50m de profun.</t>
  </si>
  <si>
    <t>03.03.03.02.02</t>
  </si>
  <si>
    <t>Suministro e instalacion de tuberia PVC-U PN 10  DN100mm en TN hasta 1.50m de profun.</t>
  </si>
  <si>
    <t>03.03.03.02.03</t>
  </si>
  <si>
    <t>Suministro e instalacion de tuberia PVC-U PN 10 DN160mm en TN hasta 1.50m de profun.</t>
  </si>
  <si>
    <t>03.03.03.02.04</t>
  </si>
  <si>
    <t>Suministro e instalacion de accesorios para RAE-01</t>
  </si>
  <si>
    <t>03.03.03.03</t>
  </si>
  <si>
    <t>03.03.03.03.01</t>
  </si>
  <si>
    <t>Suministro e instalacion de grifo y acces. C/Iincendio Ho. díctil 2 bocas tipo poste cuerpo seco NTP 350.102:2001 DN 160</t>
  </si>
  <si>
    <t>03.03.03.04</t>
  </si>
  <si>
    <t>03.03.03.04.01</t>
  </si>
  <si>
    <t>03.03.03.04.02</t>
  </si>
  <si>
    <t>03.03.03.04.03</t>
  </si>
  <si>
    <t>03.03.03.04.04</t>
  </si>
  <si>
    <t>03.03.03.05</t>
  </si>
  <si>
    <t>CAMARAS DE VALVULAS DE PURGA</t>
  </si>
  <si>
    <t>03.03.03.05.01</t>
  </si>
  <si>
    <t>03.03.03.05.01.01</t>
  </si>
  <si>
    <t>Válvula de purga tipo compuerta DN 50 en red DN 160mm</t>
  </si>
  <si>
    <t>03.03.03.05.02</t>
  </si>
  <si>
    <t>03.03.03.05.02.01</t>
  </si>
  <si>
    <t>03.03.03.06</t>
  </si>
  <si>
    <t>03.03.03.06.01</t>
  </si>
  <si>
    <t>03.03.03.06.01.01</t>
  </si>
  <si>
    <t>03.03.03.06.01.02</t>
  </si>
  <si>
    <t>03.03.03.06.02</t>
  </si>
  <si>
    <t>03.03.03.06.02.01</t>
  </si>
  <si>
    <t>03.03.03.06.02.02</t>
  </si>
  <si>
    <t>03.03.03.07</t>
  </si>
  <si>
    <t>03.03.03.07.01</t>
  </si>
  <si>
    <t>Suministro e instalacion de accesorios para empalmes y cortes en RAE-01</t>
  </si>
  <si>
    <t>03.03.03.08</t>
  </si>
  <si>
    <t>03.03.03.08.01</t>
  </si>
  <si>
    <t>CONEXIONES DOMICILIARIAS</t>
  </si>
  <si>
    <t>03.04.01</t>
  </si>
  <si>
    <t>03.04.01.01</t>
  </si>
  <si>
    <t>PAVIMENTOS, SARDINELES, JARDINES Y VEREDAS</t>
  </si>
  <si>
    <t>03.04.01.01.01</t>
  </si>
  <si>
    <t>Corte+rotura, ED y reposic. de pavimento flexible asfalto caliente de  e= 2"</t>
  </si>
  <si>
    <t>03.04.01.01.02</t>
  </si>
  <si>
    <t>03.04.01.01.03</t>
  </si>
  <si>
    <t>03.04.01.02</t>
  </si>
  <si>
    <t>SUMINISTRO E INSTALACION DE TUBERIAS Y ACCESORIOS PARA CONEXIONES</t>
  </si>
  <si>
    <t>03.04.01.02.01</t>
  </si>
  <si>
    <t>Suministro e instalcion de tuberias en t-normal y accesorios conexión Tipo I (RAP-01)</t>
  </si>
  <si>
    <t>03.04.01.02.02</t>
  </si>
  <si>
    <t>Suministro e instalcion de tuberias en t-semirocoso y accesorios conexión Tipo I (RAP-01)</t>
  </si>
  <si>
    <t>03.04.01.02.03</t>
  </si>
  <si>
    <t>Suministro e instalcion de tuberias en t-rocoso y accesorios conexión Tipo I (RAP-01)</t>
  </si>
  <si>
    <t>03.04.01.03</t>
  </si>
  <si>
    <t>SUMINISTRO E INSTALACION DE ELEMENTOS DE TOMA Y CONTROL</t>
  </si>
  <si>
    <t>03.04.01.03.01</t>
  </si>
  <si>
    <t>Sumin. elementos de control sin medidor p/conex.agua DN  15 mm c/válv.resina termoplást.c/niple telesc.salida auxiliar</t>
  </si>
  <si>
    <t>03.04.01.03.02</t>
  </si>
  <si>
    <t>Abrazadera de Polipropileno DN 63mm x 20mm c/perforador obturador para conexión domiciliaria</t>
  </si>
  <si>
    <t>03.04.01.03.03</t>
  </si>
  <si>
    <t>Abrazadera de Polipropileno DN 90mm x 20mm c/perforador obturador para conexión domiciliaria</t>
  </si>
  <si>
    <t>03.04.01.03.04</t>
  </si>
  <si>
    <t>Abrazadera de Polipropileno DN 110mm x 20mm c/perforador obturador para conexión domiciliaria</t>
  </si>
  <si>
    <t>03.04.01.03.05</t>
  </si>
  <si>
    <t>Empalme mecanico de PP para unir Tub. HDPE con Valvula de Paso 20mm x 1/2"</t>
  </si>
  <si>
    <t>03.04.01.03.06</t>
  </si>
  <si>
    <t>Instalación elementos de control para conexión agua DN  15  -  25</t>
  </si>
  <si>
    <t>03.04.01.03.07</t>
  </si>
  <si>
    <t>Instalación de abrazaderas p/conexión en tubería DN   50  -   80</t>
  </si>
  <si>
    <t>03.04.01.03.08</t>
  </si>
  <si>
    <t>Instalación de abrazaderas p/conexión en tubería DN  100  -  150</t>
  </si>
  <si>
    <t>03.04.01.03.09</t>
  </si>
  <si>
    <t>Instalación de Empalme mecanico PP   DN   15 - 40</t>
  </si>
  <si>
    <t>03.04.01.04</t>
  </si>
  <si>
    <t>MICROMEDICION</t>
  </si>
  <si>
    <t>03.04.01.04.02</t>
  </si>
  <si>
    <t>Instalación de medidor aprobado por SEDACUSCO para conexión domicliaria de agua DN  20</t>
  </si>
  <si>
    <t>03.04.01.04.03</t>
  </si>
  <si>
    <t>Pruebas de laboratorio s/especificación p/evaluación-aceptación de medidores  DN 15, 20 y 25 (Por medidor suministrado)</t>
  </si>
  <si>
    <t>Pruebas de Verificación a Q1 (48 horas a flujo contínuo) y Desgaste acelerado (100 horas a flujo contínuo); Lote 151 a</t>
  </si>
  <si>
    <t>03.04.02</t>
  </si>
  <si>
    <t>03.04.02.01</t>
  </si>
  <si>
    <t>03.04.02.01.01</t>
  </si>
  <si>
    <t>03.04.02.01.02</t>
  </si>
  <si>
    <t>03.04.02.01.03</t>
  </si>
  <si>
    <t>03.04.02.01.04</t>
  </si>
  <si>
    <t>Sembrío de grass y plantas de tallo corto (jardín)</t>
  </si>
  <si>
    <t>03.04.02.02</t>
  </si>
  <si>
    <t>03.04.02.02.01</t>
  </si>
  <si>
    <t>Suministro e instalcion de tuberias en t-normal y accesorios conexión Tipo I (RAP-02)</t>
  </si>
  <si>
    <t>03.04.02.02.02</t>
  </si>
  <si>
    <t>Suministro e instalcion de tuberias en t-semirocoso y accesorios conexión Tipo I (RAP-2)</t>
  </si>
  <si>
    <t>03.04.02.02.03</t>
  </si>
  <si>
    <t>Suministro e instalcion de tuberias en t-rocoso y accesorios conexión Tipo I (RAP-02)</t>
  </si>
  <si>
    <t>03.04.02.03</t>
  </si>
  <si>
    <t>03.04.02.03.01</t>
  </si>
  <si>
    <t>03.04.02.03.02</t>
  </si>
  <si>
    <t>03.04.02.03.03</t>
  </si>
  <si>
    <t>03.04.02.03.04</t>
  </si>
  <si>
    <t>03.04.02.03.05</t>
  </si>
  <si>
    <t>Abrazadera de Polipropileno DN 160mm x 20mm c/perforador obturador para conexión domiciliaria</t>
  </si>
  <si>
    <t>03.04.02.03.06</t>
  </si>
  <si>
    <t>03.04.02.03.07</t>
  </si>
  <si>
    <t>Instalación elementos de control para    conexión agua DN  15  -  25</t>
  </si>
  <si>
    <t>03.04.02.03.08</t>
  </si>
  <si>
    <t>03.04.02.03.09</t>
  </si>
  <si>
    <t>03.04.02.03.10</t>
  </si>
  <si>
    <t>03.04.02.04</t>
  </si>
  <si>
    <t>03.04.02.04.01</t>
  </si>
  <si>
    <t>03.04.02.04.02</t>
  </si>
  <si>
    <t>03.04.02.04.03</t>
  </si>
  <si>
    <t>03.04.03</t>
  </si>
  <si>
    <t>03.04.03.01</t>
  </si>
  <si>
    <t>03.04.03.01.01</t>
  </si>
  <si>
    <t>03.04.03.01.02</t>
  </si>
  <si>
    <t>03.04.03.02</t>
  </si>
  <si>
    <t>03.04.03.02.01</t>
  </si>
  <si>
    <t>Suministro e instalcion de tuberias y accesorios conexión Tipo I (RAE-01)</t>
  </si>
  <si>
    <t>03.04.03.03</t>
  </si>
  <si>
    <t>03.04.03.03.01</t>
  </si>
  <si>
    <t>03.04.03.03.02</t>
  </si>
  <si>
    <t>03.04.03.03.03</t>
  </si>
  <si>
    <t>03.04.03.03.04</t>
  </si>
  <si>
    <t>03.04.03.03.05</t>
  </si>
  <si>
    <t>03.04.03.03.06</t>
  </si>
  <si>
    <t>03.04.03.03.07</t>
  </si>
  <si>
    <t>03.04.03.04</t>
  </si>
  <si>
    <t>03.04.03.04.01</t>
  </si>
  <si>
    <t>03.04.03.04.02</t>
  </si>
  <si>
    <t>03.04.03.04.03</t>
  </si>
  <si>
    <t>TOTAL COSTO DIRECTO</t>
  </si>
  <si>
    <t xml:space="preserve">TOTAL COSTO DIRECTO </t>
  </si>
  <si>
    <t xml:space="preserve">CONTINGENCIA </t>
  </si>
  <si>
    <t>TOTAL PRESUPUESTO INC. IMPUESTOS</t>
  </si>
  <si>
    <t>REAJUSTE DE PRECIOS - Estimada al termino de obra</t>
  </si>
  <si>
    <t xml:space="preserve">VALOR REAJUSTADO </t>
  </si>
  <si>
    <t>UTILIDAD AJUSTADA</t>
  </si>
  <si>
    <t>INICIO</t>
  </si>
  <si>
    <t>FIN</t>
  </si>
  <si>
    <t>DIAS</t>
  </si>
  <si>
    <t>MESES</t>
  </si>
  <si>
    <t>días libres</t>
  </si>
  <si>
    <t>LICITACION</t>
  </si>
  <si>
    <t>PROYECTO</t>
  </si>
  <si>
    <t>T</t>
  </si>
  <si>
    <t>ESTRATEGICO</t>
  </si>
  <si>
    <t>MES</t>
  </si>
  <si>
    <t>PLAZO CONTRACTUAL</t>
  </si>
  <si>
    <t>CAMPO</t>
  </si>
  <si>
    <t>W</t>
  </si>
  <si>
    <t>PERS. CONSORCIO</t>
  </si>
  <si>
    <t>PLAZO META</t>
  </si>
  <si>
    <t>FECHA:</t>
  </si>
  <si>
    <t>CIVIL</t>
  </si>
  <si>
    <t>C</t>
  </si>
  <si>
    <t>PERSONAL</t>
  </si>
  <si>
    <t>CANTIDAD</t>
  </si>
  <si>
    <t>TIEMPO</t>
  </si>
  <si>
    <t>P. UNIT</t>
  </si>
  <si>
    <t>P. TOTAL</t>
  </si>
  <si>
    <t>Por UND Recurso</t>
  </si>
  <si>
    <t xml:space="preserve">MECANICO </t>
  </si>
  <si>
    <t>M</t>
  </si>
  <si>
    <t>NOMBRE</t>
  </si>
  <si>
    <t>CARGO</t>
  </si>
  <si>
    <t>TIPO</t>
  </si>
  <si>
    <t>CONDICION</t>
  </si>
  <si>
    <t>CANT.</t>
  </si>
  <si>
    <t>TIEMPO (mes)</t>
  </si>
  <si>
    <t>CANT X TIEMPO</t>
  </si>
  <si>
    <t>SUELDO (Mes)</t>
  </si>
  <si>
    <t xml:space="preserve">PERSONAL STAFF </t>
  </si>
  <si>
    <t>PERSNAL CLAVE / NO CLAVE Y ESTRATEGICO</t>
  </si>
  <si>
    <t>REG. COMUN</t>
  </si>
  <si>
    <t>CARGA LABORAL</t>
  </si>
  <si>
    <t>Personal Estrategico</t>
  </si>
  <si>
    <t>GERENTE DE PROYECTO (EXPAT)</t>
  </si>
  <si>
    <t>E&amp;I</t>
  </si>
  <si>
    <t>E</t>
  </si>
  <si>
    <t>Paul Florian</t>
  </si>
  <si>
    <t>Gerente de Proyecto</t>
  </si>
  <si>
    <t>ALOJADO</t>
  </si>
  <si>
    <t>Costo apoyo oficina Lima</t>
  </si>
  <si>
    <t>GERENTE DE PROYECTO ELECTROMECANICO A</t>
  </si>
  <si>
    <t>GER OBR</t>
  </si>
  <si>
    <t xml:space="preserve">                                                                             </t>
  </si>
  <si>
    <t>Jose Maria - Chema</t>
  </si>
  <si>
    <t>Maestro Obra</t>
  </si>
  <si>
    <t>Contrato Jimmy V.</t>
  </si>
  <si>
    <t>SUPERINTENDENTE DE OBRA B</t>
  </si>
  <si>
    <t>SUPERINTENDENTE</t>
  </si>
  <si>
    <t>RESD</t>
  </si>
  <si>
    <t xml:space="preserve">Yan Paredes </t>
  </si>
  <si>
    <t>Administrados 01</t>
  </si>
  <si>
    <t>NO ALOJ</t>
  </si>
  <si>
    <t>Oficina Cusco</t>
  </si>
  <si>
    <t>INGENIERO RESIDENTE B</t>
  </si>
  <si>
    <t>CIV</t>
  </si>
  <si>
    <t>Eduardo Roman</t>
  </si>
  <si>
    <t>Administrados 02</t>
  </si>
  <si>
    <t>Computadoras</t>
  </si>
  <si>
    <t>MEC/ELEC</t>
  </si>
  <si>
    <t>EEMM</t>
  </si>
  <si>
    <t>Otros Bienes</t>
  </si>
  <si>
    <t>Personal de Licitacion</t>
  </si>
  <si>
    <t>ADMINISTRADOR B / JEFE ALMACEN A</t>
  </si>
  <si>
    <t>ADMINISTRADOR</t>
  </si>
  <si>
    <t>Cesar Lambert</t>
  </si>
  <si>
    <t>Gerente de Obra</t>
  </si>
  <si>
    <t>CLAVE</t>
  </si>
  <si>
    <t>Viajes</t>
  </si>
  <si>
    <t>ADMINISTRADOR C / JEFE ALMACEN B  / RELACIONISTA COMUNITARIO A  / ADMINISTRADOR Y CONTROL DE DOCUMENTOS (DCA) A</t>
  </si>
  <si>
    <t>JEFE RR.HH.</t>
  </si>
  <si>
    <t>Noe Coello</t>
  </si>
  <si>
    <t>Residente</t>
  </si>
  <si>
    <t>Hospedaje Hote</t>
  </si>
  <si>
    <t>ALMACENERO B / ASISTENTE DE RELACIONES COMUNITARIAS B / ASISTENTE SOCIAL C  / ASIST ADMINISTRATIVO C</t>
  </si>
  <si>
    <t>ASIST RRHH</t>
  </si>
  <si>
    <t>Priscilla Panti</t>
  </si>
  <si>
    <t>Especialista de Seguridad y salud ocupacional de obra</t>
  </si>
  <si>
    <t>Alimentacion</t>
  </si>
  <si>
    <t>ASIST SOCIAL</t>
  </si>
  <si>
    <t>Nestor Contretas</t>
  </si>
  <si>
    <t>Especialista Ambiental</t>
  </si>
  <si>
    <t>Henry Tipo</t>
  </si>
  <si>
    <t>Especialista de Calidad</t>
  </si>
  <si>
    <t>COORDINADOR HES A</t>
  </si>
  <si>
    <t xml:space="preserve">    </t>
  </si>
  <si>
    <t>Por Identificar</t>
  </si>
  <si>
    <t>Especialista en Obras Eléctricas o Electromecánicas</t>
  </si>
  <si>
    <t>Vehiculos</t>
  </si>
  <si>
    <t>SUPERVISOR HES A / SUPERVISOR FORESTAL A</t>
  </si>
  <si>
    <t>SUP HES</t>
  </si>
  <si>
    <t>300 pax</t>
  </si>
  <si>
    <t>Especialista en Redes de agua notable</t>
  </si>
  <si>
    <t>NO CLAVE</t>
  </si>
  <si>
    <t>SUPERVISOR HES C / SUPERVISOR FORESTAL C</t>
  </si>
  <si>
    <t>M AMBIENTE</t>
  </si>
  <si>
    <t>Cristhian Huanca</t>
  </si>
  <si>
    <t>Especialista en Costos, presupuestos y programación</t>
  </si>
  <si>
    <t>ARQUEOLOGO</t>
  </si>
  <si>
    <t>Especialista en Mecánica de suelos</t>
  </si>
  <si>
    <t>PREVENSIONISTA HES C</t>
  </si>
  <si>
    <t>Especialista Estructural</t>
  </si>
  <si>
    <t>MEDICO A</t>
  </si>
  <si>
    <t>Especialista en Automatización, Telecomunicaciones</t>
  </si>
  <si>
    <t>ENFERMERO SENIOR</t>
  </si>
  <si>
    <t>Especialista en Tránsito</t>
  </si>
  <si>
    <t>COORDINADOR QAQC A</t>
  </si>
  <si>
    <t>Especialista social</t>
  </si>
  <si>
    <t>INGENIERO CIV / MEC / ELEC / QA-QC B</t>
  </si>
  <si>
    <t>QC - CIV</t>
  </si>
  <si>
    <t>Ing. Asistente de residente</t>
  </si>
  <si>
    <t>QC - MEC/ELEC</t>
  </si>
  <si>
    <t>Promotor social</t>
  </si>
  <si>
    <t>APOYO</t>
  </si>
  <si>
    <t>INGENIERO CIV / MEC / ELEC / QA-QC C</t>
  </si>
  <si>
    <t>CONTROL PROYECTO</t>
  </si>
  <si>
    <t>Asistente de Modulos de Atención</t>
  </si>
  <si>
    <t>INGENIERO JUNIOR CIV / MEC / ELEC</t>
  </si>
  <si>
    <t>DCA</t>
  </si>
  <si>
    <t>Asistente Ambiental</t>
  </si>
  <si>
    <t>DCA ING</t>
  </si>
  <si>
    <t>Inspectores de Seguridad</t>
  </si>
  <si>
    <t xml:space="preserve">SUPERVISOR DE LOGISTICA A </t>
  </si>
  <si>
    <t>Tecnicos de campo Agua potable</t>
  </si>
  <si>
    <t>AYUDANTE CALIFICADO  / MOTOSIERRISTA B  / ANDAMIERO CERTIFICADO</t>
  </si>
  <si>
    <t>Asistente Logistico</t>
  </si>
  <si>
    <t>Tecnicos de campo Estructuras</t>
  </si>
  <si>
    <t>ALMACENERO</t>
  </si>
  <si>
    <t>Tecnicos de Metrados y Costos</t>
  </si>
  <si>
    <t>Asistente Almacen</t>
  </si>
  <si>
    <t>Nelly Ccala</t>
  </si>
  <si>
    <t>Almacenero</t>
  </si>
  <si>
    <t>MECANICO B / ELECTROMECANICO (EXPAT)</t>
  </si>
  <si>
    <t>Jefe Mantenimiento</t>
  </si>
  <si>
    <t>Médico en Salud Ocupacional</t>
  </si>
  <si>
    <t>MECANICO / ELECTROMECANICO EQ PESADO B</t>
  </si>
  <si>
    <t>Mecanico</t>
  </si>
  <si>
    <t>Zico Tordolla</t>
  </si>
  <si>
    <t>Técnico Topógrafo</t>
  </si>
  <si>
    <t>MECANICO / ELECTROMECANICO EQ PESADO C</t>
  </si>
  <si>
    <t>Electromecanico</t>
  </si>
  <si>
    <t>Dibujante en georreferenciación - Argis-CAD</t>
  </si>
  <si>
    <t>Ayudante Mecanico</t>
  </si>
  <si>
    <t>SOLDADOR 2da</t>
  </si>
  <si>
    <t>Apoyo Administrativo y Produccion</t>
  </si>
  <si>
    <t>CHOFER CAMIONETA</t>
  </si>
  <si>
    <t>Chofer camioneta</t>
  </si>
  <si>
    <t>Liz Alva</t>
  </si>
  <si>
    <t>Recursos Humanos</t>
  </si>
  <si>
    <t>CHOFER CAMION</t>
  </si>
  <si>
    <t>Lubrico / Plataforma</t>
  </si>
  <si>
    <t>lubrico + plataforma</t>
  </si>
  <si>
    <t>Asistente Recursos Humanos</t>
  </si>
  <si>
    <t>ESPECIALISTA EQUIPO PESADO A</t>
  </si>
  <si>
    <t>Cargador Frontal</t>
  </si>
  <si>
    <t>Logistico</t>
  </si>
  <si>
    <t xml:space="preserve">ESPECIALISTA EQUIPO MENOR A </t>
  </si>
  <si>
    <t>Camion grua LOG</t>
  </si>
  <si>
    <t>Asistente Social</t>
  </si>
  <si>
    <t>AYUDANTE ESPECIALIZADO A / LOGISTICA / RIGGER CERTIF</t>
  </si>
  <si>
    <t>Rigger</t>
  </si>
  <si>
    <t xml:space="preserve">Tareadores </t>
  </si>
  <si>
    <t>ALBAÑIL/FIERRERO/CARPINTERO / GASFITERO / ELECTRICISTA / OP PTAR C</t>
  </si>
  <si>
    <t>op. Pta agua</t>
  </si>
  <si>
    <t>Choferes de camionetas</t>
  </si>
  <si>
    <t>ESPECIALISTA EQUIPO IZAJE A</t>
  </si>
  <si>
    <t>Op. Grua</t>
  </si>
  <si>
    <t>Limpieza de Oficinas</t>
  </si>
  <si>
    <t>Ing. Planeamiento de obra</t>
  </si>
  <si>
    <t>Cadeneros - Apoyo Topografia</t>
  </si>
  <si>
    <t>STAFF</t>
  </si>
  <si>
    <t>EQUIPO</t>
  </si>
  <si>
    <t>ESPECIFICACION</t>
  </si>
  <si>
    <t>UND.</t>
  </si>
  <si>
    <t>CAMIONETA PICK-UP 4X4</t>
  </si>
  <si>
    <t>CAMIONETA PICK-UP 4X4 - SECA SIN OPERADOR</t>
  </si>
  <si>
    <t>UND</t>
  </si>
  <si>
    <t>CARGADORA FRONTAL CAT 950 GC</t>
  </si>
  <si>
    <t>COASTER 18 PAX 4X4</t>
  </si>
  <si>
    <t>CAMA BAJA CON CABEZAL</t>
  </si>
  <si>
    <t>CAMION COMBUSTIBLE</t>
  </si>
  <si>
    <t>CAMION 10 TON</t>
  </si>
  <si>
    <t>CAMION GRUA 8 TON</t>
  </si>
  <si>
    <t>GRUA SOBRE RUEDAS 4x4 25 TON</t>
  </si>
  <si>
    <t>BUS 40 PAX</t>
  </si>
  <si>
    <t>incluye chofer</t>
  </si>
  <si>
    <t>SERVICIOS / OTROS</t>
  </si>
  <si>
    <t>UNIDAD</t>
  </si>
  <si>
    <t>CONSUMIBLES DE SEGURIDAD INDUSTRIAL</t>
  </si>
  <si>
    <t>mes</t>
  </si>
  <si>
    <t>COMBUSTIBLE DIESEL / GASOIL - CAMIONETAS</t>
  </si>
  <si>
    <t>MEDICINAS</t>
  </si>
  <si>
    <t>EQUIPO CONTROL DE CALIDAD (Pruebas de compactacion, Concreto, Laboratorio, Electrofusión)</t>
  </si>
  <si>
    <t>EPP ESPECIAL</t>
  </si>
  <si>
    <t>cambios</t>
  </si>
  <si>
    <t>EQUIPO TOPOGRAFICO.- ESTACION TOTAL</t>
  </si>
  <si>
    <t>COVID INSUMOS (mascarillas, alcohol, tomatodo, etc..)</t>
  </si>
  <si>
    <t>HD</t>
  </si>
  <si>
    <t>SERVICIO DE VIGILANCIA - OFICINA CENTRAL</t>
  </si>
  <si>
    <t>GLB</t>
  </si>
  <si>
    <t>COVID PRUEBAS</t>
  </si>
  <si>
    <t>un</t>
  </si>
  <si>
    <t>1 ves al mes</t>
  </si>
  <si>
    <t>INSTALACIONES ELECTRICAS Y SANITARIAS</t>
  </si>
  <si>
    <t>MONITOREO HIGIENE OCUPACIONAL</t>
  </si>
  <si>
    <t>1 vez por proyecto</t>
  </si>
  <si>
    <t>SERVICIOS BASICOS OFICINA CENTRAL (Luz, agua, telefonia, internet)</t>
  </si>
  <si>
    <t>SEGURIDAD FISICA</t>
  </si>
  <si>
    <t xml:space="preserve">CONSUMO DE AGUA POTABLE </t>
  </si>
  <si>
    <t>ELIMINACION DE RESIDUOS</t>
  </si>
  <si>
    <t>ton/mes</t>
  </si>
  <si>
    <t>1 ton/mes</t>
  </si>
  <si>
    <t>ALIMENTACION OBREROS (ALMUERZO)</t>
  </si>
  <si>
    <t>PER.</t>
  </si>
  <si>
    <t>PERMISOS (osinergmin, DGAC, municipios, etc..)</t>
  </si>
  <si>
    <t>ALIMENTACION STAFF (03 COMIDAS)</t>
  </si>
  <si>
    <t>COMBUSTIBLE</t>
  </si>
  <si>
    <t>gal</t>
  </si>
  <si>
    <t>DIESEL</t>
  </si>
  <si>
    <t>incluido en el equipo</t>
  </si>
  <si>
    <t>CONSULTORIA JV</t>
  </si>
  <si>
    <t>EXAMENES MEDICOS</t>
  </si>
  <si>
    <t>pax</t>
  </si>
  <si>
    <t>Retirar de la tabla salarial</t>
  </si>
  <si>
    <t>PASAJES AEREOS NACIONAL</t>
  </si>
  <si>
    <t>COMPATIBILIZACION DEL EXPEDIENTE TECNICO</t>
  </si>
  <si>
    <t>INSTALACIONES</t>
  </si>
  <si>
    <t>APLICACIÓN</t>
  </si>
  <si>
    <t>BASE LOGISTICA PUCALLPA</t>
  </si>
  <si>
    <t>ALQUILER DE OFICINA CENTRAL</t>
  </si>
  <si>
    <t>ALQUILER VIVIENDA STAFF</t>
  </si>
  <si>
    <t xml:space="preserve">MUEBLES e IMPLEMENTACION PARA OFICINA CENTRAL (Escritorios y sillas) </t>
  </si>
  <si>
    <t>EQUIPOS DE COMPUTO Y LICENCIAS</t>
  </si>
  <si>
    <t>IMPRESORAS Y PLOTTER</t>
  </si>
  <si>
    <t>ARRIENDO HOTEL TRABAJADORES</t>
  </si>
  <si>
    <t>h-día</t>
  </si>
  <si>
    <t>Hotel + Desay + Cena</t>
  </si>
  <si>
    <t>PANTALLAS, PROYECTOR Y PARLANTES</t>
  </si>
  <si>
    <t>ARRIENDO CASA STAFF</t>
  </si>
  <si>
    <t>LECTOR HUELLA DIGITAL</t>
  </si>
  <si>
    <t>ARREINDO TERRENO</t>
  </si>
  <si>
    <t>SERVICIO DE INTERNET, INSTALACION Y EQUIPAMIENTO</t>
  </si>
  <si>
    <t>GASTOS FINANCIEROS</t>
  </si>
  <si>
    <t>GASTOS FINANCIEROS Y SEDE LIMA</t>
  </si>
  <si>
    <t xml:space="preserve">Gastos Financieros </t>
  </si>
  <si>
    <t>%</t>
  </si>
  <si>
    <t>Contingencia</t>
  </si>
  <si>
    <t>BACKOFFICE LIMA</t>
  </si>
  <si>
    <t>SUCESS FEE</t>
  </si>
  <si>
    <t>TAC + OFICINA LIMA</t>
  </si>
  <si>
    <t>TAC</t>
  </si>
  <si>
    <t>TOTAL INDIRECTOS</t>
  </si>
  <si>
    <t>GASTOS GENERALES</t>
  </si>
  <si>
    <t>% GG</t>
  </si>
  <si>
    <t>MONTO CONTRATO  US$ (inc IGV)</t>
  </si>
  <si>
    <t>MONTO CONTRATO SOLES (inc IGV)</t>
  </si>
  <si>
    <t>M0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</si>
  <si>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</si>
  <si>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</si>
  <si>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</si>
  <si>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</si>
  <si>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</si>
  <si>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</si>
  <si>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</si>
  <si>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</si>
  <si>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</si>
  <si>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</si>
  <si>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</si>
  <si>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</si>
  <si>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</si>
  <si>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</si>
  <si>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</si>
  <si>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</si>
  <si>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</si>
  <si>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</si>
  <si>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 xml:space="preserve">PLAZO CONTRACTUAL </t>
  </si>
  <si>
    <t>PLAZO DE EJECUCION  - META (13 MESES + 01 PUESTA EN MARCHA Y OPERACIÓN)</t>
  </si>
  <si>
    <t>Carga Laboral</t>
  </si>
  <si>
    <t>Max.</t>
  </si>
  <si>
    <t>Cant.</t>
  </si>
  <si>
    <t>Sueldo  S/</t>
  </si>
  <si>
    <t>Total S/</t>
  </si>
  <si>
    <t>Costo Total S/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</si>
  <si>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</si>
  <si>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</si>
  <si>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</si>
  <si>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</si>
  <si>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</si>
  <si>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</si>
  <si>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</si>
  <si>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</si>
  <si>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</si>
  <si>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</si>
  <si>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</si>
  <si>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enero</t>
  </si>
  <si>
    <t>COMPATIBILIZACION DE PROYECTO</t>
  </si>
  <si>
    <t>PERS. ESTRATEGICO</t>
  </si>
  <si>
    <t>Consorcio</t>
  </si>
  <si>
    <t xml:space="preserve">Maestro Obra </t>
  </si>
  <si>
    <t>PERSONAL DE LICITACION</t>
  </si>
  <si>
    <t>Clave</t>
  </si>
  <si>
    <t>Residente de Obra</t>
  </si>
  <si>
    <t>No clave</t>
  </si>
  <si>
    <t>Especialista en Costos, presupuestos</t>
  </si>
  <si>
    <t>Apoyo</t>
  </si>
  <si>
    <t>Tecnicos de campo Agua potable (Cap. Redes HD/HDPE)</t>
  </si>
  <si>
    <t>Tecnicos de campo Estructuras (Cap. Obras Civiles)</t>
  </si>
  <si>
    <t>PERSONAL ADMINISTRATIVO/OPERATIVO</t>
  </si>
  <si>
    <t>Resp. Recursos Humanos</t>
  </si>
  <si>
    <t>Asist. Recursos Humanos</t>
  </si>
  <si>
    <t>Asist. Administrativo</t>
  </si>
  <si>
    <t>Enfermero (a)</t>
  </si>
  <si>
    <t>CUADRO DE CONTINGENCIAS - CONSORCIO RIO HUATANAY</t>
  </si>
  <si>
    <t>Por</t>
  </si>
  <si>
    <t>k</t>
  </si>
  <si>
    <t>Items</t>
  </si>
  <si>
    <t>Riesgo</t>
  </si>
  <si>
    <t>P.</t>
  </si>
  <si>
    <t>IC.</t>
  </si>
  <si>
    <t>P*IC</t>
  </si>
  <si>
    <t>Consideraciones</t>
  </si>
  <si>
    <t>Probabilidad %</t>
  </si>
  <si>
    <t>Costo S/ (k)</t>
  </si>
  <si>
    <t xml:space="preserve">Contingencia de Riesgo S/ </t>
  </si>
  <si>
    <t>L.impacto</t>
  </si>
  <si>
    <t>Metrado</t>
  </si>
  <si>
    <t>PU S/</t>
  </si>
  <si>
    <t>Parcial</t>
  </si>
  <si>
    <t>Factor (k)</t>
  </si>
  <si>
    <t>Total</t>
  </si>
  <si>
    <t>Suministro de micromedidores (conexiones domiciliarias)</t>
  </si>
  <si>
    <t>Mayor desperdicio en tuberias de HD (4%)</t>
  </si>
  <si>
    <t>ml</t>
  </si>
  <si>
    <t>Conformación de plataforma en derecho de via para Tub HD (Excavacion y Eliminación).</t>
  </si>
  <si>
    <t>Improductividad por factor de lluvias (2025)</t>
  </si>
  <si>
    <t>Gestiones sindical - Construcción Civil</t>
  </si>
  <si>
    <t>hh</t>
  </si>
  <si>
    <t>Perdida de encofrado x alquiler</t>
  </si>
  <si>
    <t>No cuantificados</t>
  </si>
  <si>
    <t>CONTINGENCIA - CUANTIFICADA</t>
  </si>
  <si>
    <t>CAMPAMENTO</t>
  </si>
  <si>
    <t>TC</t>
  </si>
  <si>
    <t>A</t>
  </si>
  <si>
    <t>K (mes)</t>
  </si>
  <si>
    <t>OBSERVACIONES</t>
  </si>
  <si>
    <t>Incremento materiales/servicios</t>
  </si>
  <si>
    <t>PORTAKAM DORMITORIO (8 pax)</t>
  </si>
  <si>
    <t>NEXCOM</t>
  </si>
  <si>
    <t>OFICINA TECNICA / ADMINISTRACION</t>
  </si>
  <si>
    <t>6.10x6.10x3.30</t>
  </si>
  <si>
    <t>JIMBOS (OFICINAS)</t>
  </si>
  <si>
    <t>5.88x5.80x2.32</t>
  </si>
  <si>
    <t>CONTENEDOR OFICINA NDT</t>
  </si>
  <si>
    <t>CONTAINER 20'</t>
  </si>
  <si>
    <t>ALMACEN CAMPO</t>
  </si>
  <si>
    <t>CONTAINER 40'</t>
  </si>
  <si>
    <t>BATERIAS SANITARIAS</t>
  </si>
  <si>
    <t>20ft</t>
  </si>
  <si>
    <t>GENERADORES</t>
  </si>
  <si>
    <t>88KVA</t>
  </si>
  <si>
    <t>ESTRUCTUTA ALMACEN</t>
  </si>
  <si>
    <t>10x30x5.00</t>
  </si>
  <si>
    <t>MESES DEPRECIADO</t>
  </si>
  <si>
    <t>B</t>
  </si>
  <si>
    <t>ESPECIFIC</t>
  </si>
  <si>
    <t>K</t>
  </si>
  <si>
    <t>CALENTADORES ELECTRICOS</t>
  </si>
  <si>
    <t>TERMA ELECTRICA - BATERIA DE BAÑOS</t>
  </si>
  <si>
    <t>150 LTS</t>
  </si>
  <si>
    <t>TABLEROS ELECTRICOS + Extensiones</t>
  </si>
  <si>
    <t xml:space="preserve">LUMINARIAS </t>
  </si>
  <si>
    <t>1000W</t>
  </si>
  <si>
    <t>TANQUES DE POLIETILENO</t>
  </si>
  <si>
    <t>10000 lt</t>
  </si>
  <si>
    <t>BIODIGESTOR INC. INSTRUMENTACION e INSTAL.</t>
  </si>
  <si>
    <t>5,000 lts</t>
  </si>
  <si>
    <t>LICENCIA CONSTRUCCION OFICINAS</t>
  </si>
  <si>
    <t>TOPICO (Caseta e implementos)</t>
  </si>
  <si>
    <t>Gbl</t>
  </si>
  <si>
    <t>SERVICIO DE INTERNET</t>
  </si>
  <si>
    <t>Fibra Optica</t>
  </si>
  <si>
    <t xml:space="preserve">DISEÑO, SUM E INSTALACION DE PARARAYOS </t>
  </si>
  <si>
    <t>CAMPAMENTO AVANZADA y ACOPIO TUB Y ACC (Alquiler Terrenos)</t>
  </si>
  <si>
    <t>m2/mes</t>
  </si>
  <si>
    <t>CERCO PERIMETRICO DE MADERA Y MALLA</t>
  </si>
  <si>
    <t xml:space="preserve">COMUNICACIONES </t>
  </si>
  <si>
    <t>TV 50"</t>
  </si>
  <si>
    <t>Impresora COLOR</t>
  </si>
  <si>
    <t>A3</t>
  </si>
  <si>
    <t>Impresoras individuales</t>
  </si>
  <si>
    <t>A4</t>
  </si>
  <si>
    <t>Radios Handy PRO-5150</t>
  </si>
  <si>
    <t>Proyector + Parlantes</t>
  </si>
  <si>
    <t>ESCRITORIOS</t>
  </si>
  <si>
    <t>MESAS CENTRALES</t>
  </si>
  <si>
    <t>SILLAS</t>
  </si>
  <si>
    <t>ARCHIVADOR</t>
  </si>
  <si>
    <t>D</t>
  </si>
  <si>
    <t>MATERIALES</t>
  </si>
  <si>
    <t>Madera Listones (4" x 4" x 4')</t>
  </si>
  <si>
    <t>madera dura</t>
  </si>
  <si>
    <t>Largo</t>
  </si>
  <si>
    <t>Ancho</t>
  </si>
  <si>
    <t>Madera Listones (3" x 3" x 4')</t>
  </si>
  <si>
    <t>Madera Listones (2" x 2" x 4')</t>
  </si>
  <si>
    <t>Tablones  (2" x 10" x 4')</t>
  </si>
  <si>
    <t>Triplay Fenolico 18mm (1.2m x2.4m)</t>
  </si>
  <si>
    <t>Malla olimpica de 2" x 2" x 100m</t>
  </si>
  <si>
    <t>Rollo</t>
  </si>
  <si>
    <t>Cemento tipo I</t>
  </si>
  <si>
    <t>bls 42kg</t>
  </si>
  <si>
    <t>Material Electrico</t>
  </si>
  <si>
    <t>Material Sanitarios</t>
  </si>
  <si>
    <t>Tuberia PVC 2"</t>
  </si>
  <si>
    <t>Tuberia PVC 4" Y 6"</t>
  </si>
  <si>
    <t>Calaminas de 6mm (fibraforte)</t>
  </si>
  <si>
    <t>1x5m</t>
  </si>
  <si>
    <t>F</t>
  </si>
  <si>
    <t>SERVICIOS</t>
  </si>
  <si>
    <t>Baños - Fabricacion caseta Rustica</t>
  </si>
  <si>
    <t>Consumo de Agua</t>
  </si>
  <si>
    <t>per/mes</t>
  </si>
  <si>
    <t>Cuadrilla de Mano de obra (op+pe+of)</t>
  </si>
  <si>
    <t>per/hh</t>
  </si>
  <si>
    <t>TOTAL CAMPAMENTOS</t>
  </si>
  <si>
    <t>TOTAL CAMPAMENTOS/m2 (12500)</t>
  </si>
  <si>
    <t>MOVILIZACION</t>
  </si>
  <si>
    <t xml:space="preserve">MOVILIZACION DE EQUIPOS </t>
  </si>
  <si>
    <t>CANTIDAD ida y vuelta</t>
  </si>
  <si>
    <t>Cama Baja 30 Ton (Pucallpa-Lima)</t>
  </si>
  <si>
    <t>3 ejes</t>
  </si>
  <si>
    <t>viaje</t>
  </si>
  <si>
    <t>Camioneta Escolta (Pucallpa-Lima)</t>
  </si>
  <si>
    <t>Cama Baja 30 Ton (Lima-Cusco)</t>
  </si>
  <si>
    <t>Camioneta Escolta (Lima-Cusco)</t>
  </si>
  <si>
    <t>SOLO INGRESO (MATERIALES PERMANENTES)</t>
  </si>
  <si>
    <t>DETALLE</t>
  </si>
  <si>
    <t xml:space="preserve">Camion plataforma </t>
  </si>
  <si>
    <t>PLAN MONITOREO ARQUEOLOGICO</t>
  </si>
  <si>
    <t>SISTEMA DE CONTRATACION: A Suma Global</t>
  </si>
  <si>
    <t xml:space="preserve">Rubro N° </t>
  </si>
  <si>
    <t>P.U.</t>
  </si>
  <si>
    <t>Monto</t>
  </si>
  <si>
    <t xml:space="preserve"> MONITOREO ARQUEOLOGICO</t>
  </si>
  <si>
    <t xml:space="preserve"> PROFESIONAL </t>
  </si>
  <si>
    <t>Residente (arqueólogo)</t>
  </si>
  <si>
    <t>PERSONAL TECNICO</t>
  </si>
  <si>
    <t>Asistentes Arqueólogos</t>
  </si>
  <si>
    <t xml:space="preserve"> IMPLEMENTACION DE PLAN DE MONITOREO ARQUEOLOGICO </t>
  </si>
  <si>
    <t xml:space="preserve"> IMPLEMENTACION DEL PLAN DE MONITOREO ARQUEOLOGICO </t>
  </si>
  <si>
    <t xml:space="preserve">GLB </t>
  </si>
  <si>
    <t>TOTAL 2</t>
  </si>
  <si>
    <t>HH</t>
  </si>
  <si>
    <t>TOTAL S/</t>
  </si>
  <si>
    <t>INTERVENCION SOCIAL</t>
  </si>
  <si>
    <t>PEON</t>
  </si>
  <si>
    <t>OPERARIO</t>
  </si>
  <si>
    <t>OFICIAL</t>
  </si>
  <si>
    <t xml:space="preserve"> Rubro N°</t>
  </si>
  <si>
    <t>Descripción</t>
  </si>
  <si>
    <t>Cantidad</t>
  </si>
  <si>
    <t>PLANES DE INTERVENCIÓN SOCIAL</t>
  </si>
  <si>
    <t>PLAN DE INTERVENCIÓN SOCIAL GENERAL</t>
  </si>
  <si>
    <t>1.1.1</t>
  </si>
  <si>
    <t>Materiales y útiles de oficina</t>
  </si>
  <si>
    <t>Mes</t>
  </si>
  <si>
    <t>HH/MES</t>
  </si>
  <si>
    <t>CU</t>
  </si>
  <si>
    <t>TOTAL MO</t>
  </si>
  <si>
    <t>PLAN DE COMUNICACIONES</t>
  </si>
  <si>
    <t>RAP1</t>
  </si>
  <si>
    <t>1.2.1</t>
  </si>
  <si>
    <t>Material de difusión del Proyecto (gigantografías, afiches, banner, dípticos, etc.)</t>
  </si>
  <si>
    <t>RAP2</t>
  </si>
  <si>
    <t>1.2.2</t>
  </si>
  <si>
    <t>Avisos en prensa radial y escrita</t>
  </si>
  <si>
    <t>CIS 350</t>
  </si>
  <si>
    <t>1.2.3</t>
  </si>
  <si>
    <t>Material de merchandising (polos, gorros, lapiceros, etc.)</t>
  </si>
  <si>
    <t>PLAN DE CAPACITACIÓN * Ver disposiciones, directrices y ejes temáticos del Plan de Capacitación del EEAE</t>
  </si>
  <si>
    <t>1.3.1</t>
  </si>
  <si>
    <t>Talleres sobre alcances del Proyecto</t>
  </si>
  <si>
    <t>1.3.2</t>
  </si>
  <si>
    <t>Talleres sobre valoración del servicio de agua</t>
  </si>
  <si>
    <t>1.3.3</t>
  </si>
  <si>
    <t>Talleres sobre cuidado de las instalaciones sanitarias</t>
  </si>
  <si>
    <t>1.3.4</t>
  </si>
  <si>
    <t>Talleres sobre hábitos de higiene</t>
  </si>
  <si>
    <t>1.3.5</t>
  </si>
  <si>
    <t>Talleres sobre la firma del contrato de instalación</t>
  </si>
  <si>
    <t>1.3.6</t>
  </si>
  <si>
    <t>Talleres sobre la tarifa y el pago responsable</t>
  </si>
  <si>
    <t>1.3.7</t>
  </si>
  <si>
    <t>Talleres sobre prevención de acoso y abuso sexual</t>
  </si>
  <si>
    <t>1.3.8</t>
  </si>
  <si>
    <t>Talleres de Interculturalidad</t>
  </si>
  <si>
    <t>MECANISMO DE ATENCIÓN DE QUEJAS Y RECLAMOS</t>
  </si>
  <si>
    <t>1.8.1</t>
  </si>
  <si>
    <t>Stand o módulo para atención de quejas y reclamos</t>
  </si>
  <si>
    <t>TOTAL 4</t>
  </si>
  <si>
    <t>PLAN DE GESTION AMBIENTAL</t>
  </si>
  <si>
    <t>Rubro N°</t>
  </si>
  <si>
    <t>PLAN ESTRATEGICO DE MANEJO AMBIENTAL</t>
  </si>
  <si>
    <t>Programa de manejo de materiales de la construcción</t>
  </si>
  <si>
    <t>Lonas para cubrir materiales de obra</t>
  </si>
  <si>
    <t>Lonas para cubrir volquetes (traslado de materiales)</t>
  </si>
  <si>
    <t>Impermeabilización de pisos para manejo de materiales</t>
  </si>
  <si>
    <t>Impermeabilización de pisos de áreas para: combustible, concreto, material excedente, etc, con geotextil</t>
  </si>
  <si>
    <t>Adquisición de parihuelas para almacenamiento de cemento</t>
  </si>
  <si>
    <t>Plan de minimización, gestión y manejo de residuos sólidos</t>
  </si>
  <si>
    <t>Contenedores Herméticos de colores</t>
  </si>
  <si>
    <t>Almacenamiento temporal (290 GLN) Plástico-Campamento</t>
  </si>
  <si>
    <t>Punto ecológico (5 cilindros de colores)-reservorio</t>
  </si>
  <si>
    <t>Punto ecológico (3 cilindros de colores)-Lineas de agua potable y redes domiciliarias</t>
  </si>
  <si>
    <t>Transporte y disposición final de RRSS peligrosos</t>
  </si>
  <si>
    <t>Disposición final de residuos no municipales</t>
  </si>
  <si>
    <t>disposición final de Residuos Sólidos Peligrosos en el relleno sanitario Autorizado. Tower and Tower</t>
  </si>
  <si>
    <t>Tn</t>
  </si>
  <si>
    <t>Acondicionamiento de depósito de material excedente</t>
  </si>
  <si>
    <t>02.02.04</t>
  </si>
  <si>
    <t>Área de almacenamiento temporal de residuos</t>
  </si>
  <si>
    <t>Gestión y manejo de calidad del aire, polvo y ruido</t>
  </si>
  <si>
    <t>Limpieza de terreno manual lineas de agua</t>
  </si>
  <si>
    <t>Plan de monitoreo Ambiental</t>
  </si>
  <si>
    <t>Monitoreo de calidad de ruído (4 Puntos)</t>
  </si>
  <si>
    <t>02.04.02</t>
  </si>
  <si>
    <t>Monitoreo de calidad de aire (4 Puntos)</t>
  </si>
  <si>
    <t>Plan de contingencia y prevención de riesgos</t>
  </si>
  <si>
    <t>02.05.01</t>
  </si>
  <si>
    <t>Adquisición de Kit Antiderrames</t>
  </si>
  <si>
    <t>Plan de sensibilización ambiental para la población.</t>
  </si>
  <si>
    <t>02.06.01</t>
  </si>
  <si>
    <t>Talleres de sensibilización a la población</t>
  </si>
  <si>
    <t>Campañas de difusión</t>
  </si>
  <si>
    <t>Taller</t>
  </si>
  <si>
    <t>Campañas a II.EE</t>
  </si>
  <si>
    <t>Campañas a instituciones públicas</t>
  </si>
  <si>
    <t>02.06.02</t>
  </si>
  <si>
    <t>Elaboración de video animados sobre sostenibilidad del agua</t>
  </si>
  <si>
    <t>Global</t>
  </si>
  <si>
    <t>Programa de señalización ambiental</t>
  </si>
  <si>
    <t>02.07.01</t>
  </si>
  <si>
    <t>Señalización ambiental permanente</t>
  </si>
  <si>
    <t>Señales Informativas</t>
  </si>
  <si>
    <t>Señales Preventivas</t>
  </si>
  <si>
    <t>Señales de Prohibición</t>
  </si>
  <si>
    <t>02.07.02</t>
  </si>
  <si>
    <t>Señalización Ambiental en obra (campamento, residuos sólidos, entre otros)</t>
  </si>
  <si>
    <t>Señalización de Almacenamiento de residuos solidos (Puntos Ecologicos)</t>
  </si>
  <si>
    <t>Señalización de Almacenamiento Temporal de residuos solidos (Campamento)</t>
  </si>
  <si>
    <t>Plan  de cierre de obra</t>
  </si>
  <si>
    <t>02.08.01</t>
  </si>
  <si>
    <t xml:space="preserve">Retiro de  la señalización temporal </t>
  </si>
  <si>
    <t>TOTAL 5</t>
  </si>
  <si>
    <t>Actualizacion de plan de seguridad y salud en el trabajo</t>
  </si>
  <si>
    <t xml:space="preserve">Equipos de proteccion individual </t>
  </si>
  <si>
    <t>Recursos para respuesta ante emergencias en seguridad  y salud</t>
  </si>
  <si>
    <t>Equipos de proteccion colectiva</t>
  </si>
  <si>
    <t>Consumo de agua para la obra (300 bidones de 20 litros x mes)</t>
  </si>
  <si>
    <t>Capacitacion en seguridad y salud</t>
  </si>
  <si>
    <t>Examen medico ocupacional</t>
  </si>
  <si>
    <t>Señalizacion y paneles informativos</t>
  </si>
  <si>
    <t>TOTAL 3</t>
  </si>
  <si>
    <t>Señalización temporal de desvío de tráfico</t>
  </si>
  <si>
    <t xml:space="preserve">Adquisicion de tranqueras moviles </t>
  </si>
  <si>
    <t>Señalizacion rutas de acceso de las volquetes que ingresan y retiran material.</t>
  </si>
  <si>
    <t>TOTAL 6</t>
  </si>
  <si>
    <t>ORGANIGRAMA - ESTRUCTURA ORGANIZACIONAL</t>
  </si>
  <si>
    <t>MAYO 2024</t>
  </si>
  <si>
    <t>Gerente de Proyecto                               Paul Florian</t>
  </si>
  <si>
    <t>Gerente de Obra                       Cesar Lambert</t>
  </si>
  <si>
    <t>Apoyos Lima</t>
  </si>
  <si>
    <t>CONDUTO / CBS</t>
  </si>
  <si>
    <t>Gerente de Construcción                                   Humberto Sanchez</t>
  </si>
  <si>
    <t>Administrador                                            Yan Paredes/Eduardo Roman</t>
  </si>
  <si>
    <t>Area Finanzas</t>
  </si>
  <si>
    <t>Almacenero                                                              Nelly Ccala</t>
  </si>
  <si>
    <t>Area de Contabilidad</t>
  </si>
  <si>
    <t xml:space="preserve">Logistico </t>
  </si>
  <si>
    <t>Area de Tesorería</t>
  </si>
  <si>
    <t>Asistente de Modulo de Atencion</t>
  </si>
  <si>
    <t>Area de TI</t>
  </si>
  <si>
    <t>Area RRHH (Liz)</t>
  </si>
  <si>
    <t>Area Logistico</t>
  </si>
  <si>
    <t xml:space="preserve">Especialista en Calidad                                   Henry Tipo </t>
  </si>
  <si>
    <t>Residente de Obra                                                               Noe Coello</t>
  </si>
  <si>
    <t>Especialista en SOMA                                            Priscilla Panti</t>
  </si>
  <si>
    <t>Especialista Ambiental                                                        Nelson Contreras</t>
  </si>
  <si>
    <t>Especialista Social                                            William Pino</t>
  </si>
  <si>
    <t>Esp Obras Electromecanicas                                        Por Identificar</t>
  </si>
  <si>
    <t>Auxiliar RRHH</t>
  </si>
  <si>
    <t>Especialista en Mecánica de Suelos</t>
  </si>
  <si>
    <t xml:space="preserve">Ing. Asistente Residente                               </t>
  </si>
  <si>
    <t xml:space="preserve">Inspector de Seguridad </t>
  </si>
  <si>
    <t>Promotor Social</t>
  </si>
  <si>
    <t>Especialista en Automat y Telecom</t>
  </si>
  <si>
    <t>Tareadores</t>
  </si>
  <si>
    <t xml:space="preserve">Maestro de Obra                                 </t>
  </si>
  <si>
    <t>Inspector de Seguridad</t>
  </si>
  <si>
    <t>Especialista en redes de AP</t>
  </si>
  <si>
    <t>Especialista Arqueología       Edison Perez</t>
  </si>
  <si>
    <t>Técnico de campo de AP</t>
  </si>
  <si>
    <t>Especialista en Costos Pptos (Cristhian)</t>
  </si>
  <si>
    <t>Técnico de Metrados                                          Juan Olarte</t>
  </si>
  <si>
    <t>PERSONAL CLAVE</t>
  </si>
  <si>
    <t>PERSONAL NO CLAVE</t>
  </si>
  <si>
    <t>PERSONAL DE APOYO</t>
  </si>
  <si>
    <t>Técnico de Campo Estructuras</t>
  </si>
  <si>
    <t>PERSONAL CONSORCIO</t>
  </si>
  <si>
    <t>Topografo Técnico                                                                     Zico Tordolla</t>
  </si>
  <si>
    <t>Dibujante en georreferenciación Argis-CAD</t>
  </si>
  <si>
    <t>LISTA DE ACTUALIZACIONES PARA PPTO META</t>
  </si>
  <si>
    <t>PROVEEDOR</t>
  </si>
  <si>
    <t xml:space="preserve">Costo de mano de obra 2024 </t>
  </si>
  <si>
    <t>CAPECO</t>
  </si>
  <si>
    <t>Costo de acero puesto en obra</t>
  </si>
  <si>
    <t>ACEROS AREQUIPA</t>
  </si>
  <si>
    <t>Costo de tuberia de HD estándar y acerrojado</t>
  </si>
  <si>
    <t>LA VIGA</t>
  </si>
  <si>
    <t>Costo de accesorios de HD estándar y acerrojado</t>
  </si>
  <si>
    <t>Costo de tuberia de HDPE y ACCESORIOS PE100</t>
  </si>
  <si>
    <t>GLOBAL PLAST</t>
  </si>
  <si>
    <t>Costo de concreto premezclado</t>
  </si>
  <si>
    <t>SUPERMIX</t>
  </si>
  <si>
    <t>Costo de Maquinaria servida, inc. Operador</t>
  </si>
  <si>
    <t>Costo de encofrado metalico para muros y cupula RAP-1, RAP-2</t>
  </si>
  <si>
    <t>UNISPAN</t>
  </si>
  <si>
    <t>Costo de entibado metalico</t>
  </si>
  <si>
    <t>MECANOTUBO</t>
  </si>
  <si>
    <t xml:space="preserve">Costo de cemento por bolsa </t>
  </si>
  <si>
    <t>YURA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</si>
</sst>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-&quot;S/&quot;* #,##0.00_-;\-&quot;S/&quot;* #,##0.00_-;_-&quot;S/&quot;* &quot;-&quot;??_-;_-@_-"/>
    <numFmt numFmtId="165" formatCode="&quot;S/&quot;\ #,##0.00"/>
    <numFmt numFmtId="166" formatCode="_-* #,##0.00\ _P_t_s_-;\-* #,##0.00\ _P_t_s_-;_-* &quot;-&quot;??\ _P_t_s_-;_-@_-"/>
    <numFmt numFmtId="167" formatCode="[$-F800]dddd\,\ mmmm\ dd\,\ yyyy"/>
    <numFmt numFmtId="168" formatCode="_ &quot;S/.&quot;\ * #,##0.00_ ;_ &quot;S/.&quot;\ * \-#,##0.00_ ;_ &quot;S/.&quot;\ * &quot;-&quot;??_ ;_ @_ "/>
    <numFmt numFmtId="169" formatCode="[$S/-280A]\ #,##0.00"/>
    <numFmt numFmtId="170" formatCode="0.0%"/>
    <numFmt numFmtId="171" formatCode="&quot;$&quot;#,##0.00"/>
    <numFmt numFmtId="172" formatCode="&quot;S/&quot;#,##0.00"/>
    <numFmt numFmtId="173" formatCode="_-* #,##0.0000_-;\-* #,##0.0000_-;_-* &quot;-&quot;??_-;_-@_-"/>
    <numFmt numFmtId="174" formatCode="_ * #,##0.00_ ;_ * \-#,##0.00_ ;_ * &quot;-&quot;??_ ;_ @_ "/>
    <numFmt numFmtId="175" formatCode="#&quot; PAX&quot;"/>
    <numFmt numFmtId="176" formatCode="[$-409]d/mmm/yy;@"/>
    <numFmt numFmtId="177" formatCode="_-[$$-540A]* #,##0.00_ ;_-[$$-540A]* \-#,##0.00\ ;_-[$$-540A]* &quot;-&quot;??_ ;_-@_ "/>
    <numFmt numFmtId="178" formatCode="_-[$S/-280A]\ * #,##0.00_-;\-[$S/-280A]\ * #,##0.00_-;_-[$S/-280A]\ * &quot;-&quot;??_-;_-@_-"/>
    <numFmt numFmtId="179" formatCode="0.0"/>
    <numFmt numFmtId="180" formatCode="#&quot; pie-tablar&quot;"/>
    <numFmt numFmtId="181" formatCode="#.0&quot; m2&quot;"/>
    <numFmt numFmtId="182" formatCode="#&quot; ton&quot;"/>
    <numFmt numFmtId="183" formatCode="#,##0.00_ ;\-#,##0.00\ "/>
    <numFmt numFmtId="184" formatCode="#,##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Swis721 Cn BT"/>
      <family val="2"/>
    </font>
    <font>
      <sz val="12"/>
      <color theme="1"/>
      <name val="Swis721 Cn BT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6"/>
      <name val="Arial"/>
      <family val="2"/>
    </font>
    <font>
      <b/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9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9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9"/>
      </right>
      <top style="medium">
        <color auto="1"/>
      </top>
      <bottom/>
      <diagonal/>
    </border>
    <border>
      <left style="thick">
        <color theme="9"/>
      </left>
      <right/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1">
    <xf numFmtId="0" fontId="0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63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vertical="center"/>
    </xf>
    <xf numFmtId="167" fontId="11" fillId="4" borderId="0" xfId="0" applyNumberFormat="1" applyFont="1" applyFill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65" fontId="6" fillId="3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3" borderId="5" xfId="0" applyFill="1" applyBorder="1" applyAlignment="1">
      <alignment horizontal="centerContinuous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165" fontId="13" fillId="0" borderId="1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165" fontId="3" fillId="3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Continuous" vertical="center"/>
    </xf>
    <xf numFmtId="0" fontId="15" fillId="3" borderId="5" xfId="0" applyFont="1" applyFill="1" applyBorder="1" applyAlignment="1">
      <alignment horizontal="centerContinuous" vertical="center"/>
    </xf>
    <xf numFmtId="165" fontId="6" fillId="3" borderId="5" xfId="0" applyNumberFormat="1" applyFont="1" applyFill="1" applyBorder="1" applyAlignment="1">
      <alignment horizontal="centerContinuous" vertical="center" wrapText="1"/>
    </xf>
    <xf numFmtId="165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169" fontId="0" fillId="0" borderId="1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43" fontId="0" fillId="0" borderId="0" xfId="7" applyFont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65" fontId="6" fillId="6" borderId="13" xfId="0" applyNumberFormat="1" applyFont="1" applyFill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3" fontId="0" fillId="0" borderId="0" xfId="7" applyFont="1" applyAlignment="1">
      <alignment vertical="center"/>
    </xf>
    <xf numFmtId="10" fontId="0" fillId="0" borderId="0" xfId="8" applyNumberFormat="1" applyFont="1" applyAlignment="1">
      <alignment vertical="center"/>
    </xf>
    <xf numFmtId="171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3" fillId="0" borderId="0" xfId="0" applyFont="1" applyAlignment="1">
      <alignment horizontal="centerContinuous" vertical="center"/>
    </xf>
    <xf numFmtId="16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0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70" fontId="3" fillId="0" borderId="20" xfId="0" applyNumberFormat="1" applyFont="1" applyBorder="1" applyAlignment="1">
      <alignment horizontal="center" vertical="center"/>
    </xf>
    <xf numFmtId="9" fontId="3" fillId="0" borderId="20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Continuous" vertical="center"/>
    </xf>
    <xf numFmtId="0" fontId="6" fillId="0" borderId="12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vertical="center"/>
    </xf>
    <xf numFmtId="172" fontId="3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0" fontId="0" fillId="0" borderId="0" xfId="0" applyNumberFormat="1" applyAlignment="1">
      <alignment horizontal="center" vertical="center"/>
    </xf>
    <xf numFmtId="173" fontId="0" fillId="0" borderId="4" xfId="7" applyNumberFormat="1" applyFont="1" applyBorder="1" applyAlignment="1">
      <alignment vertical="center"/>
    </xf>
    <xf numFmtId="172" fontId="0" fillId="0" borderId="0" xfId="0" applyNumberFormat="1" applyAlignment="1">
      <alignment vertical="center"/>
    </xf>
    <xf numFmtId="0" fontId="16" fillId="7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165" fontId="0" fillId="5" borderId="1" xfId="0" applyNumberForma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 wrapText="1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21" fillId="0" borderId="0" xfId="7" applyFont="1" applyAlignment="1">
      <alignment horizontal="centerContinuous" vertical="center"/>
    </xf>
    <xf numFmtId="14" fontId="21" fillId="0" borderId="1" xfId="0" applyNumberFormat="1" applyFont="1" applyBorder="1" applyAlignment="1">
      <alignment horizontal="center" vertical="center"/>
    </xf>
    <xf numFmtId="3" fontId="21" fillId="0" borderId="6" xfId="1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3" fontId="21" fillId="0" borderId="1" xfId="1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7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/>
    </xf>
    <xf numFmtId="177" fontId="20" fillId="7" borderId="1" xfId="5" applyNumberFormat="1" applyFont="1" applyFill="1" applyBorder="1" applyAlignment="1">
      <alignment horizontal="center" vertical="center"/>
    </xf>
    <xf numFmtId="177" fontId="20" fillId="7" borderId="1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vertical="center"/>
    </xf>
    <xf numFmtId="0" fontId="20" fillId="7" borderId="5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164" fontId="20" fillId="7" borderId="1" xfId="9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1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77" fontId="21" fillId="0" borderId="3" xfId="5" applyNumberFormat="1" applyFont="1" applyFill="1" applyBorder="1" applyAlignment="1">
      <alignment vertical="center"/>
    </xf>
    <xf numFmtId="170" fontId="9" fillId="0" borderId="3" xfId="8" applyNumberFormat="1" applyFont="1" applyFill="1" applyBorder="1" applyAlignment="1">
      <alignment vertical="center"/>
    </xf>
    <xf numFmtId="174" fontId="21" fillId="0" borderId="0" xfId="10" applyFont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64" fontId="21" fillId="0" borderId="18" xfId="9" applyFont="1" applyFill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170" fontId="9" fillId="0" borderId="18" xfId="8" applyNumberFormat="1" applyFont="1" applyFill="1" applyBorder="1" applyAlignment="1">
      <alignment vertical="center"/>
    </xf>
    <xf numFmtId="0" fontId="22" fillId="0" borderId="24" xfId="0" applyFont="1" applyBorder="1" applyAlignment="1">
      <alignment horizontal="right" vertical="center"/>
    </xf>
    <xf numFmtId="177" fontId="21" fillId="0" borderId="18" xfId="5" applyNumberFormat="1" applyFont="1" applyFill="1" applyBorder="1" applyAlignment="1">
      <alignment vertical="center"/>
    </xf>
    <xf numFmtId="0" fontId="21" fillId="0" borderId="18" xfId="0" applyFont="1" applyBorder="1" applyAlignment="1">
      <alignment vertical="center"/>
    </xf>
    <xf numFmtId="174" fontId="21" fillId="7" borderId="0" xfId="10" applyFont="1" applyFill="1" applyAlignment="1">
      <alignment vertical="center"/>
    </xf>
    <xf numFmtId="0" fontId="25" fillId="9" borderId="6" xfId="0" applyFont="1" applyFill="1" applyBorder="1" applyAlignment="1">
      <alignment horizontal="center" vertical="center"/>
    </xf>
    <xf numFmtId="0" fontId="21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21" fillId="0" borderId="6" xfId="5" applyNumberFormat="1" applyFont="1" applyFill="1" applyBorder="1" applyAlignment="1">
      <alignment vertical="center"/>
    </xf>
    <xf numFmtId="0" fontId="22" fillId="0" borderId="6" xfId="0" applyFont="1" applyBorder="1" applyAlignment="1">
      <alignment vertical="center"/>
    </xf>
    <xf numFmtId="170" fontId="9" fillId="0" borderId="6" xfId="8" applyNumberFormat="1" applyFont="1" applyFill="1" applyBorder="1" applyAlignment="1">
      <alignment vertical="center"/>
    </xf>
    <xf numFmtId="174" fontId="21" fillId="0" borderId="0" xfId="10" applyFont="1" applyFill="1" applyAlignment="1">
      <alignment vertical="center"/>
    </xf>
    <xf numFmtId="0" fontId="21" fillId="0" borderId="27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164" fontId="21" fillId="0" borderId="6" xfId="9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25" xfId="0" applyFont="1" applyBorder="1" applyAlignment="1">
      <alignment vertical="center"/>
    </xf>
    <xf numFmtId="0" fontId="21" fillId="0" borderId="17" xfId="0" applyFont="1" applyBorder="1" applyAlignment="1">
      <alignment horizontal="left" vertical="center" wrapText="1"/>
    </xf>
    <xf numFmtId="164" fontId="21" fillId="0" borderId="3" xfId="9" applyFont="1" applyFill="1" applyBorder="1" applyAlignment="1">
      <alignment vertical="center"/>
    </xf>
    <xf numFmtId="177" fontId="21" fillId="0" borderId="0" xfId="0" applyNumberFormat="1" applyFont="1" applyAlignment="1">
      <alignment vertical="center"/>
    </xf>
    <xf numFmtId="0" fontId="21" fillId="0" borderId="24" xfId="0" applyFont="1" applyBorder="1" applyAlignment="1">
      <alignment horizontal="right" vertical="center"/>
    </xf>
    <xf numFmtId="0" fontId="24" fillId="0" borderId="18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177" fontId="21" fillId="0" borderId="18" xfId="5" applyNumberFormat="1" applyFont="1" applyBorder="1" applyAlignment="1">
      <alignment vertical="center"/>
    </xf>
    <xf numFmtId="174" fontId="21" fillId="0" borderId="0" xfId="0" applyNumberFormat="1" applyFont="1" applyAlignment="1">
      <alignment vertical="center"/>
    </xf>
    <xf numFmtId="0" fontId="9" fillId="0" borderId="24" xfId="0" applyFont="1" applyBorder="1" applyAlignment="1">
      <alignment horizontal="right" vertical="center"/>
    </xf>
    <xf numFmtId="170" fontId="21" fillId="0" borderId="18" xfId="0" applyNumberFormat="1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21" fillId="4" borderId="23" xfId="0" applyFont="1" applyFill="1" applyBorder="1" applyAlignment="1">
      <alignment vertical="center" wrapText="1"/>
    </xf>
    <xf numFmtId="0" fontId="21" fillId="4" borderId="18" xfId="0" applyFont="1" applyFill="1" applyBorder="1" applyAlignment="1">
      <alignment horizontal="center" vertical="center"/>
    </xf>
    <xf numFmtId="177" fontId="21" fillId="4" borderId="18" xfId="5" applyNumberFormat="1" applyFont="1" applyFill="1" applyBorder="1" applyAlignment="1">
      <alignment vertical="center"/>
    </xf>
    <xf numFmtId="0" fontId="21" fillId="4" borderId="18" xfId="0" applyFont="1" applyFill="1" applyBorder="1" applyAlignment="1">
      <alignment vertical="center"/>
    </xf>
    <xf numFmtId="170" fontId="21" fillId="4" borderId="18" xfId="0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 wrapText="1"/>
    </xf>
    <xf numFmtId="0" fontId="21" fillId="0" borderId="24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77" fontId="20" fillId="3" borderId="1" xfId="5" applyNumberFormat="1" applyFont="1" applyFill="1" applyBorder="1" applyAlignment="1">
      <alignment horizontal="center" vertical="center"/>
    </xf>
    <xf numFmtId="177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78" fontId="20" fillId="3" borderId="1" xfId="0" applyNumberFormat="1" applyFont="1" applyFill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vertical="center"/>
    </xf>
    <xf numFmtId="3" fontId="21" fillId="0" borderId="18" xfId="0" applyNumberFormat="1" applyFont="1" applyBorder="1" applyAlignment="1">
      <alignment horizontal="center" vertical="center"/>
    </xf>
    <xf numFmtId="177" fontId="21" fillId="10" borderId="18" xfId="5" applyNumberFormat="1" applyFont="1" applyFill="1" applyBorder="1" applyAlignment="1">
      <alignment vertical="center"/>
    </xf>
    <xf numFmtId="0" fontId="20" fillId="0" borderId="23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9" fontId="21" fillId="0" borderId="24" xfId="0" applyNumberFormat="1" applyFont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177" fontId="20" fillId="5" borderId="1" xfId="5" applyNumberFormat="1" applyFont="1" applyFill="1" applyBorder="1" applyAlignment="1">
      <alignment horizontal="center" vertical="center"/>
    </xf>
    <xf numFmtId="177" fontId="20" fillId="5" borderId="1" xfId="0" applyNumberFormat="1" applyFont="1" applyFill="1" applyBorder="1" applyAlignment="1">
      <alignment horizontal="center" vertical="center"/>
    </xf>
    <xf numFmtId="178" fontId="20" fillId="5" borderId="1" xfId="0" applyNumberFormat="1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177" fontId="20" fillId="0" borderId="18" xfId="5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78" fontId="20" fillId="0" borderId="18" xfId="5" applyNumberFormat="1" applyFont="1" applyBorder="1" applyAlignment="1">
      <alignment vertical="center"/>
    </xf>
    <xf numFmtId="178" fontId="21" fillId="0" borderId="18" xfId="5" applyNumberFormat="1" applyFont="1" applyBorder="1" applyAlignment="1">
      <alignment vertical="center"/>
    </xf>
    <xf numFmtId="177" fontId="20" fillId="0" borderId="18" xfId="0" applyNumberFormat="1" applyFont="1" applyBorder="1" applyAlignment="1">
      <alignment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/>
    </xf>
    <xf numFmtId="0" fontId="21" fillId="4" borderId="24" xfId="0" applyFont="1" applyFill="1" applyBorder="1" applyAlignment="1">
      <alignment vertical="center"/>
    </xf>
    <xf numFmtId="0" fontId="22" fillId="7" borderId="18" xfId="0" applyFont="1" applyFill="1" applyBorder="1" applyAlignment="1">
      <alignment horizontal="center" vertical="center"/>
    </xf>
    <xf numFmtId="177" fontId="20" fillId="4" borderId="18" xfId="5" applyNumberFormat="1" applyFont="1" applyFill="1" applyBorder="1" applyAlignment="1">
      <alignment vertical="center"/>
    </xf>
    <xf numFmtId="177" fontId="21" fillId="4" borderId="18" xfId="0" applyNumberFormat="1" applyFont="1" applyFill="1" applyBorder="1" applyAlignment="1">
      <alignment vertical="center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178" fontId="20" fillId="4" borderId="18" xfId="5" applyNumberFormat="1" applyFont="1" applyFill="1" applyBorder="1" applyAlignment="1">
      <alignment vertical="center"/>
    </xf>
    <xf numFmtId="178" fontId="21" fillId="4" borderId="18" xfId="5" applyNumberFormat="1" applyFont="1" applyFill="1" applyBorder="1" applyAlignment="1">
      <alignment vertical="center"/>
    </xf>
    <xf numFmtId="0" fontId="29" fillId="11" borderId="18" xfId="0" applyFont="1" applyFill="1" applyBorder="1" applyAlignment="1">
      <alignment horizontal="center" vertical="center"/>
    </xf>
    <xf numFmtId="0" fontId="29" fillId="11" borderId="23" xfId="0" applyFont="1" applyFill="1" applyBorder="1" applyAlignment="1">
      <alignment vertical="center" wrapText="1"/>
    </xf>
    <xf numFmtId="0" fontId="29" fillId="11" borderId="0" xfId="0" applyFont="1" applyFill="1" applyAlignment="1">
      <alignment vertical="center"/>
    </xf>
    <xf numFmtId="0" fontId="30" fillId="11" borderId="24" xfId="0" applyFont="1" applyFill="1" applyBorder="1" applyAlignment="1">
      <alignment vertical="center"/>
    </xf>
    <xf numFmtId="0" fontId="30" fillId="11" borderId="18" xfId="0" applyFont="1" applyFill="1" applyBorder="1" applyAlignment="1">
      <alignment horizontal="center" vertical="center"/>
    </xf>
    <xf numFmtId="177" fontId="29" fillId="11" borderId="18" xfId="5" applyNumberFormat="1" applyFont="1" applyFill="1" applyBorder="1" applyAlignment="1">
      <alignment vertical="center"/>
    </xf>
    <xf numFmtId="0" fontId="29" fillId="11" borderId="0" xfId="0" applyFont="1" applyFill="1" applyAlignment="1">
      <alignment horizontal="left" vertical="center" wrapText="1"/>
    </xf>
    <xf numFmtId="0" fontId="29" fillId="11" borderId="0" xfId="0" applyFont="1" applyFill="1" applyAlignment="1">
      <alignment horizontal="center" vertical="center" wrapText="1"/>
    </xf>
    <xf numFmtId="0" fontId="29" fillId="11" borderId="0" xfId="0" applyFont="1" applyFill="1" applyAlignment="1">
      <alignment horizontal="center" vertical="center"/>
    </xf>
    <xf numFmtId="178" fontId="29" fillId="11" borderId="18" xfId="5" applyNumberFormat="1" applyFont="1" applyFill="1" applyBorder="1" applyAlignment="1">
      <alignment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right" vertical="center"/>
    </xf>
    <xf numFmtId="177" fontId="20" fillId="7" borderId="2" xfId="0" applyNumberFormat="1" applyFont="1" applyFill="1" applyBorder="1" applyAlignment="1">
      <alignment vertical="center"/>
    </xf>
    <xf numFmtId="43" fontId="21" fillId="0" borderId="0" xfId="7" applyFont="1" applyAlignment="1">
      <alignment vertical="center"/>
    </xf>
    <xf numFmtId="178" fontId="20" fillId="7" borderId="2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/>
    </xf>
    <xf numFmtId="171" fontId="20" fillId="3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right" vertical="center" wrapText="1"/>
    </xf>
    <xf numFmtId="0" fontId="20" fillId="11" borderId="1" xfId="0" applyFont="1" applyFill="1" applyBorder="1" applyAlignment="1">
      <alignment horizontal="right" vertical="center"/>
    </xf>
    <xf numFmtId="165" fontId="20" fillId="11" borderId="1" xfId="0" applyNumberFormat="1" applyFont="1" applyFill="1" applyBorder="1" applyAlignment="1">
      <alignment vertical="center"/>
    </xf>
    <xf numFmtId="0" fontId="20" fillId="11" borderId="1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20" fillId="3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17" fontId="34" fillId="0" borderId="0" xfId="0" applyNumberFormat="1" applyFont="1" applyAlignment="1">
      <alignment horizontal="center" vertical="center"/>
    </xf>
    <xf numFmtId="17" fontId="34" fillId="0" borderId="30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9" borderId="0" xfId="0" applyFont="1" applyFill="1" applyAlignment="1">
      <alignment vertical="center"/>
    </xf>
    <xf numFmtId="0" fontId="33" fillId="9" borderId="30" xfId="0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30" xfId="0" applyFont="1" applyBorder="1" applyAlignment="1">
      <alignment horizontal="center" vertical="center"/>
    </xf>
    <xf numFmtId="4" fontId="33" fillId="0" borderId="0" xfId="0" applyNumberFormat="1" applyFont="1" applyAlignment="1">
      <alignment horizontal="right" vertical="center"/>
    </xf>
    <xf numFmtId="0" fontId="33" fillId="14" borderId="0" xfId="0" applyFont="1" applyFill="1" applyAlignment="1">
      <alignment horizontal="center" vertical="center"/>
    </xf>
    <xf numFmtId="0" fontId="33" fillId="14" borderId="30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0" fontId="33" fillId="0" borderId="31" xfId="0" applyFont="1" applyBorder="1" applyAlignment="1">
      <alignment vertical="center"/>
    </xf>
    <xf numFmtId="0" fontId="33" fillId="14" borderId="31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14" borderId="35" xfId="0" applyFont="1" applyFill="1" applyBorder="1" applyAlignment="1">
      <alignment horizontal="center" vertical="center"/>
    </xf>
    <xf numFmtId="0" fontId="33" fillId="14" borderId="32" xfId="0" applyFont="1" applyFill="1" applyBorder="1" applyAlignment="1">
      <alignment horizontal="center" vertical="center"/>
    </xf>
    <xf numFmtId="0" fontId="33" fillId="14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center" vertical="center"/>
    </xf>
    <xf numFmtId="10" fontId="12" fillId="0" borderId="1" xfId="8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vertical="center"/>
    </xf>
    <xf numFmtId="175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17" fillId="0" borderId="0" xfId="0" applyNumberFormat="1" applyFont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9" fontId="17" fillId="0" borderId="0" xfId="0" applyNumberFormat="1" applyFont="1" applyAlignment="1">
      <alignment vertical="center"/>
    </xf>
    <xf numFmtId="0" fontId="0" fillId="0" borderId="18" xfId="0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177" fontId="0" fillId="0" borderId="18" xfId="5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18" xfId="5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3" fillId="8" borderId="1" xfId="5" applyNumberFormat="1" applyFon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177" fontId="12" fillId="0" borderId="18" xfId="0" applyNumberFormat="1" applyFont="1" applyBorder="1" applyAlignment="1">
      <alignment vertical="center"/>
    </xf>
    <xf numFmtId="177" fontId="3" fillId="5" borderId="1" xfId="5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181" fontId="0" fillId="0" borderId="18" xfId="0" applyNumberForma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3" fillId="7" borderId="4" xfId="0" applyFont="1" applyFill="1" applyBorder="1" applyAlignment="1">
      <alignment horizontal="center" vertical="center"/>
    </xf>
    <xf numFmtId="177" fontId="3" fillId="7" borderId="1" xfId="5" applyNumberFormat="1" applyFont="1" applyFill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6" xfId="0" applyBorder="1" applyAlignment="1">
      <alignment vertical="center"/>
    </xf>
    <xf numFmtId="177" fontId="3" fillId="3" borderId="2" xfId="0" applyNumberFormat="1" applyFont="1" applyFill="1" applyBorder="1" applyAlignment="1">
      <alignment horizontal="centerContinuous" vertical="center"/>
    </xf>
    <xf numFmtId="9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0" fontId="0" fillId="15" borderId="18" xfId="0" applyFill="1" applyBorder="1" applyAlignment="1">
      <alignment horizontal="center" vertical="center"/>
    </xf>
    <xf numFmtId="0" fontId="12" fillId="15" borderId="18" xfId="0" applyFont="1" applyFill="1" applyBorder="1" applyAlignment="1">
      <alignment vertical="center"/>
    </xf>
    <xf numFmtId="0" fontId="12" fillId="15" borderId="18" xfId="0" applyFont="1" applyFill="1" applyBorder="1" applyAlignment="1">
      <alignment horizontal="center" vertical="center"/>
    </xf>
    <xf numFmtId="177" fontId="12" fillId="15" borderId="18" xfId="5" applyNumberFormat="1" applyFont="1" applyFill="1" applyBorder="1" applyAlignment="1">
      <alignment vertical="center"/>
    </xf>
    <xf numFmtId="0" fontId="0" fillId="15" borderId="18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182" fontId="12" fillId="15" borderId="18" xfId="0" applyNumberFormat="1" applyFont="1" applyFill="1" applyBorder="1" applyAlignment="1">
      <alignment horizontal="center" vertical="center"/>
    </xf>
    <xf numFmtId="178" fontId="1" fillId="0" borderId="18" xfId="5" applyNumberFormat="1" applyFont="1" applyFill="1" applyBorder="1" applyAlignment="1">
      <alignment vertical="center"/>
    </xf>
    <xf numFmtId="178" fontId="0" fillId="0" borderId="18" xfId="5" applyNumberFormat="1" applyFont="1" applyBorder="1" applyAlignment="1">
      <alignment vertical="center"/>
    </xf>
    <xf numFmtId="178" fontId="0" fillId="0" borderId="18" xfId="5" applyNumberFormat="1" applyFont="1" applyFill="1" applyBorder="1" applyAlignment="1">
      <alignment vertical="center"/>
    </xf>
    <xf numFmtId="164" fontId="11" fillId="7" borderId="1" xfId="9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164" fontId="0" fillId="0" borderId="18" xfId="9" applyFont="1" applyFill="1" applyBorder="1" applyAlignment="1">
      <alignment vertical="center"/>
    </xf>
    <xf numFmtId="164" fontId="0" fillId="0" borderId="18" xfId="9" applyFont="1" applyBorder="1" applyAlignment="1">
      <alignment vertical="center"/>
    </xf>
    <xf numFmtId="164" fontId="3" fillId="8" borderId="1" xfId="9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3" fillId="5" borderId="1" xfId="9" applyFont="1" applyFill="1" applyBorder="1" applyAlignment="1">
      <alignment horizontal="center" vertical="center"/>
    </xf>
    <xf numFmtId="164" fontId="3" fillId="7" borderId="1" xfId="9" applyFont="1" applyFill="1" applyBorder="1" applyAlignment="1">
      <alignment horizontal="center" vertical="center"/>
    </xf>
    <xf numFmtId="164" fontId="3" fillId="7" borderId="29" xfId="9" applyFont="1" applyFill="1" applyBorder="1" applyAlignment="1">
      <alignment vertical="center"/>
    </xf>
    <xf numFmtId="164" fontId="0" fillId="0" borderId="6" xfId="9" applyFont="1" applyBorder="1" applyAlignment="1">
      <alignment vertical="center"/>
    </xf>
    <xf numFmtId="164" fontId="12" fillId="11" borderId="18" xfId="9" applyFont="1" applyFill="1" applyBorder="1" applyAlignment="1">
      <alignment vertical="center"/>
    </xf>
    <xf numFmtId="164" fontId="12" fillId="0" borderId="18" xfId="9" applyFont="1" applyFill="1" applyBorder="1" applyAlignment="1">
      <alignment vertical="center"/>
    </xf>
    <xf numFmtId="164" fontId="12" fillId="15" borderId="18" xfId="9" applyFont="1" applyFill="1" applyBorder="1" applyAlignment="1">
      <alignment vertical="center"/>
    </xf>
    <xf numFmtId="164" fontId="3" fillId="3" borderId="2" xfId="9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2" fontId="0" fillId="0" borderId="0" xfId="7" applyNumberFormat="1" applyFont="1" applyAlignment="1">
      <alignment horizontal="left" vertical="center"/>
    </xf>
    <xf numFmtId="0" fontId="20" fillId="7" borderId="4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5" xfId="0" applyFont="1" applyFill="1" applyBorder="1" applyAlignment="1">
      <alignment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78" fontId="34" fillId="0" borderId="0" xfId="0" applyNumberFormat="1" applyFont="1" applyAlignment="1">
      <alignment horizontal="right" vertical="center"/>
    </xf>
    <xf numFmtId="0" fontId="21" fillId="0" borderId="1" xfId="0" applyFont="1" applyBorder="1" applyAlignment="1">
      <alignment vertical="center"/>
    </xf>
    <xf numFmtId="164" fontId="21" fillId="0" borderId="0" xfId="9" applyFont="1" applyAlignment="1">
      <alignment vertical="center"/>
    </xf>
    <xf numFmtId="4" fontId="21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9" fontId="21" fillId="0" borderId="1" xfId="8" applyFont="1" applyBorder="1" applyAlignment="1">
      <alignment vertical="center"/>
    </xf>
    <xf numFmtId="4" fontId="21" fillId="0" borderId="0" xfId="9" applyNumberFormat="1" applyFont="1" applyAlignment="1">
      <alignment vertical="center"/>
    </xf>
    <xf numFmtId="9" fontId="21" fillId="0" borderId="0" xfId="0" applyNumberFormat="1" applyFont="1" applyAlignment="1">
      <alignment horizontal="center" vertical="center"/>
    </xf>
    <xf numFmtId="43" fontId="21" fillId="0" borderId="0" xfId="7" applyFont="1" applyAlignment="1">
      <alignment horizontal="center" vertical="center"/>
    </xf>
    <xf numFmtId="183" fontId="21" fillId="0" borderId="0" xfId="7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8" fillId="0" borderId="0" xfId="3" applyFont="1" applyAlignment="1">
      <alignment vertical="center"/>
    </xf>
    <xf numFmtId="0" fontId="9" fillId="0" borderId="0" xfId="3" applyAlignment="1">
      <alignment vertical="center"/>
    </xf>
    <xf numFmtId="0" fontId="21" fillId="0" borderId="1" xfId="0" applyFont="1" applyBorder="1" applyAlignment="1">
      <alignment vertical="center" wrapText="1"/>
    </xf>
    <xf numFmtId="10" fontId="20" fillId="0" borderId="0" xfId="8" applyNumberFormat="1" applyFont="1" applyAlignment="1">
      <alignment vertical="center"/>
    </xf>
    <xf numFmtId="2" fontId="28" fillId="7" borderId="18" xfId="0" applyNumberFormat="1" applyFont="1" applyFill="1" applyBorder="1" applyAlignment="1">
      <alignment horizontal="center" vertical="center"/>
    </xf>
    <xf numFmtId="2" fontId="22" fillId="7" borderId="18" xfId="0" applyNumberFormat="1" applyFont="1" applyFill="1" applyBorder="1" applyAlignment="1">
      <alignment horizontal="center" vertical="center"/>
    </xf>
    <xf numFmtId="2" fontId="29" fillId="11" borderId="18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21" fillId="7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0" fillId="7" borderId="2" xfId="0" applyFont="1" applyFill="1" applyBorder="1" applyAlignment="1">
      <alignment horizontal="right" vertical="center"/>
    </xf>
    <xf numFmtId="0" fontId="9" fillId="0" borderId="4" xfId="3" applyBorder="1" applyAlignment="1">
      <alignment horizontal="left" vertical="center"/>
    </xf>
    <xf numFmtId="0" fontId="9" fillId="0" borderId="5" xfId="3" applyBorder="1" applyAlignment="1">
      <alignment horizontal="left" vertical="center"/>
    </xf>
    <xf numFmtId="43" fontId="21" fillId="0" borderId="0" xfId="0" applyNumberFormat="1" applyFont="1" applyAlignment="1">
      <alignment vertical="center"/>
    </xf>
    <xf numFmtId="165" fontId="11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9" fillId="16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0" fontId="20" fillId="0" borderId="21" xfId="0" applyFont="1" applyBorder="1" applyAlignment="1">
      <alignment vertical="center" wrapText="1"/>
    </xf>
    <xf numFmtId="164" fontId="20" fillId="0" borderId="3" xfId="9" applyFont="1" applyFill="1" applyBorder="1" applyAlignment="1">
      <alignment horizontal="center" vertical="center"/>
    </xf>
    <xf numFmtId="164" fontId="20" fillId="0" borderId="18" xfId="9" applyFont="1" applyFill="1" applyBorder="1" applyAlignment="1">
      <alignment horizontal="center" vertical="center"/>
    </xf>
    <xf numFmtId="184" fontId="9" fillId="0" borderId="18" xfId="0" applyNumberFormat="1" applyFont="1" applyBorder="1" applyAlignment="1">
      <alignment horizontal="center" vertical="center"/>
    </xf>
    <xf numFmtId="10" fontId="20" fillId="7" borderId="2" xfId="8" applyNumberFormat="1" applyFont="1" applyFill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0" fontId="9" fillId="0" borderId="41" xfId="3" applyBorder="1" applyAlignment="1">
      <alignment vertical="center"/>
    </xf>
    <xf numFmtId="0" fontId="9" fillId="0" borderId="42" xfId="3" applyBorder="1" applyAlignment="1">
      <alignment vertical="center"/>
    </xf>
    <xf numFmtId="0" fontId="41" fillId="0" borderId="0" xfId="3" applyFont="1" applyAlignment="1">
      <alignment vertical="center"/>
    </xf>
    <xf numFmtId="0" fontId="9" fillId="0" borderId="43" xfId="3" applyBorder="1" applyAlignment="1">
      <alignment vertical="center"/>
    </xf>
    <xf numFmtId="17" fontId="41" fillId="0" borderId="0" xfId="3" quotePrefix="1" applyNumberFormat="1" applyFont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22" fillId="0" borderId="0" xfId="3" applyFont="1" applyAlignment="1">
      <alignment vertical="center"/>
    </xf>
    <xf numFmtId="0" fontId="9" fillId="0" borderId="38" xfId="3" applyBorder="1" applyAlignment="1">
      <alignment vertical="center"/>
    </xf>
    <xf numFmtId="0" fontId="9" fillId="0" borderId="31" xfId="3" applyBorder="1" applyAlignment="1">
      <alignment vertical="center"/>
    </xf>
    <xf numFmtId="0" fontId="41" fillId="0" borderId="31" xfId="3" applyFont="1" applyBorder="1" applyAlignment="1">
      <alignment vertical="center"/>
    </xf>
    <xf numFmtId="0" fontId="9" fillId="0" borderId="0" xfId="3" applyAlignment="1">
      <alignment horizontal="center" vertical="center"/>
    </xf>
    <xf numFmtId="0" fontId="9" fillId="0" borderId="44" xfId="3" applyBorder="1" applyAlignment="1">
      <alignment vertical="center"/>
    </xf>
    <xf numFmtId="0" fontId="9" fillId="0" borderId="45" xfId="3" applyBorder="1" applyAlignment="1">
      <alignment vertical="center"/>
    </xf>
    <xf numFmtId="0" fontId="9" fillId="0" borderId="47" xfId="3" applyBorder="1" applyAlignment="1">
      <alignment vertical="center"/>
    </xf>
    <xf numFmtId="0" fontId="9" fillId="0" borderId="46" xfId="3" applyBorder="1" applyAlignment="1">
      <alignment vertical="center"/>
    </xf>
    <xf numFmtId="0" fontId="9" fillId="0" borderId="48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0" fontId="9" fillId="0" borderId="21" xfId="3" applyBorder="1" applyAlignment="1">
      <alignment vertical="center"/>
    </xf>
    <xf numFmtId="0" fontId="9" fillId="0" borderId="25" xfId="3" applyBorder="1" applyAlignment="1">
      <alignment horizontal="left" vertical="center"/>
    </xf>
    <xf numFmtId="0" fontId="9" fillId="0" borderId="29" xfId="3" applyBorder="1" applyAlignment="1">
      <alignment vertical="center"/>
    </xf>
    <xf numFmtId="0" fontId="9" fillId="0" borderId="33" xfId="3" applyBorder="1" applyAlignment="1">
      <alignment vertical="center"/>
    </xf>
    <xf numFmtId="0" fontId="9" fillId="0" borderId="49" xfId="3" applyBorder="1" applyAlignment="1">
      <alignment vertical="center"/>
    </xf>
    <xf numFmtId="0" fontId="9" fillId="0" borderId="27" xfId="3" applyBorder="1" applyAlignment="1">
      <alignment vertical="center"/>
    </xf>
    <xf numFmtId="0" fontId="9" fillId="0" borderId="6" xfId="3" applyBorder="1" applyAlignment="1">
      <alignment vertical="center"/>
    </xf>
    <xf numFmtId="0" fontId="9" fillId="0" borderId="18" xfId="3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22" xfId="3" applyBorder="1" applyAlignment="1">
      <alignment vertical="center"/>
    </xf>
    <xf numFmtId="0" fontId="9" fillId="0" borderId="5" xfId="3" applyBorder="1" applyAlignment="1">
      <alignment vertical="center"/>
    </xf>
    <xf numFmtId="0" fontId="22" fillId="0" borderId="23" xfId="3" applyFont="1" applyBorder="1" applyAlignment="1">
      <alignment vertical="center"/>
    </xf>
    <xf numFmtId="0" fontId="9" fillId="0" borderId="3" xfId="3" applyBorder="1" applyAlignment="1">
      <alignment vertical="center"/>
    </xf>
    <xf numFmtId="0" fontId="9" fillId="0" borderId="0" xfId="3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8" fillId="14" borderId="12" xfId="3" applyFont="1" applyFill="1" applyBorder="1" applyAlignment="1">
      <alignment vertical="center"/>
    </xf>
    <xf numFmtId="0" fontId="28" fillId="14" borderId="29" xfId="3" applyFont="1" applyFill="1" applyBorder="1" applyAlignment="1">
      <alignment vertical="center"/>
    </xf>
    <xf numFmtId="0" fontId="42" fillId="0" borderId="0" xfId="3" applyFont="1" applyAlignment="1">
      <alignment vertical="center"/>
    </xf>
    <xf numFmtId="0" fontId="28" fillId="12" borderId="12" xfId="3" applyFont="1" applyFill="1" applyBorder="1" applyAlignment="1">
      <alignment vertical="center"/>
    </xf>
    <xf numFmtId="0" fontId="28" fillId="12" borderId="29" xfId="3" applyFont="1" applyFill="1" applyBorder="1" applyAlignment="1">
      <alignment vertical="center"/>
    </xf>
    <xf numFmtId="0" fontId="9" fillId="0" borderId="12" xfId="3" applyBorder="1" applyAlignment="1">
      <alignment vertical="center"/>
    </xf>
    <xf numFmtId="0" fontId="9" fillId="0" borderId="50" xfId="3" applyBorder="1" applyAlignment="1">
      <alignment vertical="center"/>
    </xf>
    <xf numFmtId="0" fontId="9" fillId="0" borderId="51" xfId="3" applyBorder="1" applyAlignment="1">
      <alignment vertical="center"/>
    </xf>
    <xf numFmtId="0" fontId="9" fillId="0" borderId="51" xfId="3" applyBorder="1" applyAlignment="1">
      <alignment horizontal="left" vertical="center"/>
    </xf>
    <xf numFmtId="0" fontId="9" fillId="0" borderId="52" xfId="3" applyBorder="1" applyAlignment="1">
      <alignment horizontal="left" vertical="center"/>
    </xf>
    <xf numFmtId="0" fontId="9" fillId="0" borderId="53" xfId="3" applyBorder="1" applyAlignment="1">
      <alignment vertical="center"/>
    </xf>
    <xf numFmtId="0" fontId="40" fillId="17" borderId="1" xfId="0" applyFont="1" applyFill="1" applyBorder="1" applyAlignment="1">
      <alignment horizontal="left" vertical="center"/>
    </xf>
    <xf numFmtId="0" fontId="40" fillId="17" borderId="1" xfId="0" applyFont="1" applyFill="1" applyBorder="1" applyAlignment="1">
      <alignment vertical="center" wrapText="1"/>
    </xf>
    <xf numFmtId="0" fontId="32" fillId="17" borderId="1" xfId="0" applyFont="1" applyFill="1" applyBorder="1" applyAlignment="1">
      <alignment horizontal="center" vertical="center"/>
    </xf>
    <xf numFmtId="165" fontId="32" fillId="17" borderId="1" xfId="0" applyNumberFormat="1" applyFont="1" applyFill="1" applyBorder="1" applyAlignment="1">
      <alignment horizontal="center" vertical="center"/>
    </xf>
    <xf numFmtId="165" fontId="40" fillId="17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7" fontId="11" fillId="4" borderId="0" xfId="0" applyNumberFormat="1" applyFont="1" applyFill="1" applyAlignment="1">
      <alignment vertical="center"/>
    </xf>
    <xf numFmtId="0" fontId="20" fillId="7" borderId="4" xfId="0" applyFont="1" applyFill="1" applyBorder="1" applyAlignment="1">
      <alignment horizontal="right" vertical="center"/>
    </xf>
    <xf numFmtId="0" fontId="20" fillId="7" borderId="5" xfId="0" applyFont="1" applyFill="1" applyBorder="1" applyAlignment="1">
      <alignment horizontal="right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3" fontId="21" fillId="7" borderId="0" xfId="0" applyNumberFormat="1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4" borderId="2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0" fillId="7" borderId="2" xfId="0" applyFont="1" applyFill="1" applyBorder="1" applyAlignment="1">
      <alignment horizontal="righ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textRotation="90" wrapText="1"/>
    </xf>
    <xf numFmtId="0" fontId="34" fillId="0" borderId="31" xfId="0" applyFont="1" applyBorder="1" applyAlignment="1">
      <alignment horizontal="center" vertical="center" textRotation="90" wrapText="1"/>
    </xf>
    <xf numFmtId="0" fontId="34" fillId="0" borderId="33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7" borderId="12" xfId="0" applyFont="1" applyFill="1" applyBorder="1" applyAlignment="1">
      <alignment horizontal="right" vertical="center"/>
    </xf>
    <xf numFmtId="0" fontId="3" fillId="7" borderId="28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0" fillId="5" borderId="3" xfId="0" applyNumberFormat="1" applyFill="1" applyBorder="1" applyAlignment="1">
      <alignment vertical="center" wrapText="1"/>
    </xf>
    <xf numFmtId="165" fontId="0" fillId="5" borderId="6" xfId="0" applyNumberFormat="1" applyFill="1" applyBorder="1" applyAlignment="1">
      <alignment vertical="center" wrapText="1"/>
    </xf>
    <xf numFmtId="0" fontId="28" fillId="7" borderId="21" xfId="3" applyFont="1" applyFill="1" applyBorder="1" applyAlignment="1">
      <alignment horizontal="center" vertical="center"/>
    </xf>
    <xf numFmtId="0" fontId="28" fillId="7" borderId="17" xfId="3" applyFont="1" applyFill="1" applyBorder="1" applyAlignment="1">
      <alignment horizontal="center" vertical="center"/>
    </xf>
    <xf numFmtId="0" fontId="28" fillId="7" borderId="22" xfId="3" applyFont="1" applyFill="1" applyBorder="1" applyAlignment="1">
      <alignment horizontal="center" vertical="center"/>
    </xf>
    <xf numFmtId="0" fontId="28" fillId="7" borderId="25" xfId="3" applyFont="1" applyFill="1" applyBorder="1" applyAlignment="1">
      <alignment horizontal="center" vertical="center"/>
    </xf>
    <xf numFmtId="0" fontId="28" fillId="7" borderId="27" xfId="3" applyFont="1" applyFill="1" applyBorder="1" applyAlignment="1">
      <alignment horizontal="center" vertical="center"/>
    </xf>
    <xf numFmtId="0" fontId="28" fillId="7" borderId="26" xfId="3" applyFont="1" applyFill="1" applyBorder="1" applyAlignment="1">
      <alignment horizontal="center" vertical="center"/>
    </xf>
    <xf numFmtId="0" fontId="41" fillId="7" borderId="44" xfId="3" applyFont="1" applyFill="1" applyBorder="1" applyAlignment="1">
      <alignment horizontal="center" vertical="center" wrapText="1"/>
    </xf>
    <xf numFmtId="0" fontId="39" fillId="7" borderId="33" xfId="3" applyFont="1" applyFill="1" applyBorder="1" applyAlignment="1">
      <alignment horizontal="center" vertical="center" wrapText="1"/>
    </xf>
    <xf numFmtId="0" fontId="39" fillId="7" borderId="36" xfId="3" applyFont="1" applyFill="1" applyBorder="1" applyAlignment="1">
      <alignment horizontal="center" vertical="center" wrapText="1"/>
    </xf>
    <xf numFmtId="0" fontId="39" fillId="7" borderId="45" xfId="3" applyFont="1" applyFill="1" applyBorder="1" applyAlignment="1">
      <alignment horizontal="center" vertical="center" wrapText="1"/>
    </xf>
    <xf numFmtId="0" fontId="39" fillId="7" borderId="0" xfId="3" applyFont="1" applyFill="1" applyAlignment="1">
      <alignment horizontal="center" vertical="center" wrapText="1"/>
    </xf>
    <xf numFmtId="0" fontId="39" fillId="7" borderId="37" xfId="3" applyFont="1" applyFill="1" applyBorder="1" applyAlignment="1">
      <alignment horizontal="center" vertical="center" wrapText="1"/>
    </xf>
    <xf numFmtId="0" fontId="39" fillId="7" borderId="46" xfId="3" applyFont="1" applyFill="1" applyBorder="1" applyAlignment="1">
      <alignment horizontal="center" vertical="center" wrapText="1"/>
    </xf>
    <xf numFmtId="0" fontId="39" fillId="7" borderId="31" xfId="3" applyFont="1" applyFill="1" applyBorder="1" applyAlignment="1">
      <alignment horizontal="center" vertical="center" wrapText="1"/>
    </xf>
    <xf numFmtId="0" fontId="39" fillId="7" borderId="38" xfId="3" applyFont="1" applyFill="1" applyBorder="1" applyAlignment="1">
      <alignment horizontal="center" vertical="center" wrapText="1"/>
    </xf>
    <xf numFmtId="0" fontId="41" fillId="14" borderId="44" xfId="3" applyFont="1" applyFill="1" applyBorder="1" applyAlignment="1">
      <alignment horizontal="center" vertical="center" wrapText="1"/>
    </xf>
    <xf numFmtId="0" fontId="41" fillId="14" borderId="33" xfId="3" applyFont="1" applyFill="1" applyBorder="1" applyAlignment="1">
      <alignment horizontal="center" vertical="center" wrapText="1"/>
    </xf>
    <xf numFmtId="0" fontId="41" fillId="14" borderId="36" xfId="3" applyFont="1" applyFill="1" applyBorder="1" applyAlignment="1">
      <alignment horizontal="center" vertical="center" wrapText="1"/>
    </xf>
    <xf numFmtId="0" fontId="41" fillId="14" borderId="45" xfId="3" applyFont="1" applyFill="1" applyBorder="1" applyAlignment="1">
      <alignment horizontal="center" vertical="center" wrapText="1"/>
    </xf>
    <xf numFmtId="0" fontId="41" fillId="14" borderId="0" xfId="3" applyFont="1" applyFill="1" applyAlignment="1">
      <alignment horizontal="center" vertical="center" wrapText="1"/>
    </xf>
    <xf numFmtId="0" fontId="41" fillId="14" borderId="37" xfId="3" applyFont="1" applyFill="1" applyBorder="1" applyAlignment="1">
      <alignment horizontal="center" vertical="center" wrapText="1"/>
    </xf>
    <xf numFmtId="0" fontId="41" fillId="14" borderId="46" xfId="3" applyFont="1" applyFill="1" applyBorder="1" applyAlignment="1">
      <alignment horizontal="center" vertical="center" wrapText="1"/>
    </xf>
    <xf numFmtId="0" fontId="41" fillId="14" borderId="31" xfId="3" applyFont="1" applyFill="1" applyBorder="1" applyAlignment="1">
      <alignment horizontal="center" vertical="center" wrapText="1"/>
    </xf>
    <xf numFmtId="0" fontId="41" fillId="14" borderId="38" xfId="3" applyFont="1" applyFill="1" applyBorder="1" applyAlignment="1">
      <alignment horizontal="center" vertical="center" wrapText="1"/>
    </xf>
    <xf numFmtId="0" fontId="28" fillId="7" borderId="44" xfId="3" applyFont="1" applyFill="1" applyBorder="1" applyAlignment="1">
      <alignment horizontal="center" vertical="center"/>
    </xf>
    <xf numFmtId="0" fontId="28" fillId="7" borderId="33" xfId="3" applyFont="1" applyFill="1" applyBorder="1" applyAlignment="1">
      <alignment horizontal="center" vertical="center"/>
    </xf>
    <xf numFmtId="0" fontId="28" fillId="7" borderId="36" xfId="3" applyFont="1" applyFill="1" applyBorder="1" applyAlignment="1">
      <alignment horizontal="center" vertical="center"/>
    </xf>
    <xf numFmtId="0" fontId="28" fillId="7" borderId="46" xfId="3" applyFont="1" applyFill="1" applyBorder="1" applyAlignment="1">
      <alignment horizontal="center" vertical="center"/>
    </xf>
    <xf numFmtId="0" fontId="28" fillId="7" borderId="31" xfId="3" applyFont="1" applyFill="1" applyBorder="1" applyAlignment="1">
      <alignment horizontal="center" vertical="center"/>
    </xf>
    <xf numFmtId="0" fontId="28" fillId="7" borderId="38" xfId="3" applyFont="1" applyFill="1" applyBorder="1" applyAlignment="1">
      <alignment horizontal="center" vertical="center"/>
    </xf>
    <xf numFmtId="0" fontId="28" fillId="7" borderId="44" xfId="3" applyFont="1" applyFill="1" applyBorder="1" applyAlignment="1">
      <alignment horizontal="center" vertical="center" wrapText="1"/>
    </xf>
    <xf numFmtId="0" fontId="28" fillId="7" borderId="33" xfId="3" applyFont="1" applyFill="1" applyBorder="1" applyAlignment="1">
      <alignment horizontal="center" vertical="center" wrapText="1"/>
    </xf>
    <xf numFmtId="0" fontId="28" fillId="7" borderId="36" xfId="3" applyFont="1" applyFill="1" applyBorder="1" applyAlignment="1">
      <alignment horizontal="center" vertical="center" wrapText="1"/>
    </xf>
    <xf numFmtId="0" fontId="28" fillId="7" borderId="46" xfId="3" applyFont="1" applyFill="1" applyBorder="1" applyAlignment="1">
      <alignment horizontal="center" vertical="center" wrapText="1"/>
    </xf>
    <xf numFmtId="0" fontId="28" fillId="7" borderId="31" xfId="3" applyFont="1" applyFill="1" applyBorder="1" applyAlignment="1">
      <alignment horizontal="center" vertical="center" wrapText="1"/>
    </xf>
    <xf numFmtId="0" fontId="28" fillId="7" borderId="38" xfId="3" applyFont="1" applyFill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6" xfId="3" applyFont="1" applyBorder="1" applyAlignment="1">
      <alignment horizontal="center" vertical="center" wrapText="1"/>
    </xf>
    <xf numFmtId="0" fontId="28" fillId="0" borderId="46" xfId="3" applyFont="1" applyBorder="1" applyAlignment="1">
      <alignment horizontal="center" vertical="center" wrapText="1"/>
    </xf>
    <xf numFmtId="0" fontId="28" fillId="0" borderId="31" xfId="3" applyFont="1" applyBorder="1" applyAlignment="1">
      <alignment horizontal="center" vertical="center" wrapText="1"/>
    </xf>
    <xf numFmtId="0" fontId="28" fillId="0" borderId="38" xfId="3" applyFont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14" borderId="44" xfId="3" applyFont="1" applyFill="1" applyBorder="1" applyAlignment="1">
      <alignment horizontal="center" vertical="center" wrapText="1"/>
    </xf>
    <xf numFmtId="0" fontId="28" fillId="14" borderId="33" xfId="3" applyFont="1" applyFill="1" applyBorder="1" applyAlignment="1">
      <alignment horizontal="center" vertical="center" wrapText="1"/>
    </xf>
    <xf numFmtId="0" fontId="28" fillId="14" borderId="36" xfId="3" applyFont="1" applyFill="1" applyBorder="1" applyAlignment="1">
      <alignment horizontal="center" vertical="center" wrapText="1"/>
    </xf>
    <xf numFmtId="0" fontId="28" fillId="14" borderId="46" xfId="3" applyFont="1" applyFill="1" applyBorder="1" applyAlignment="1">
      <alignment horizontal="center" vertical="center" wrapText="1"/>
    </xf>
    <xf numFmtId="0" fontId="28" fillId="14" borderId="31" xfId="3" applyFont="1" applyFill="1" applyBorder="1" applyAlignment="1">
      <alignment horizontal="center" vertical="center" wrapText="1"/>
    </xf>
    <xf numFmtId="0" fontId="28" fillId="14" borderId="38" xfId="3" applyFont="1" applyFill="1" applyBorder="1" applyAlignment="1">
      <alignment horizontal="center" vertical="center" wrapText="1"/>
    </xf>
    <xf numFmtId="0" fontId="28" fillId="12" borderId="21" xfId="3" applyFont="1" applyFill="1" applyBorder="1" applyAlignment="1">
      <alignment horizontal="center" vertical="center" wrapText="1"/>
    </xf>
    <xf numFmtId="0" fontId="28" fillId="12" borderId="22" xfId="3" applyFont="1" applyFill="1" applyBorder="1" applyAlignment="1">
      <alignment horizontal="center" vertical="center" wrapText="1"/>
    </xf>
    <xf numFmtId="0" fontId="28" fillId="12" borderId="25" xfId="3" applyFont="1" applyFill="1" applyBorder="1" applyAlignment="1">
      <alignment horizontal="center" vertical="center" wrapText="1"/>
    </xf>
    <xf numFmtId="0" fontId="28" fillId="12" borderId="26" xfId="3" applyFont="1" applyFill="1" applyBorder="1" applyAlignment="1">
      <alignment horizontal="center" vertical="center" wrapText="1"/>
    </xf>
    <xf numFmtId="0" fontId="28" fillId="12" borderId="17" xfId="3" applyFont="1" applyFill="1" applyBorder="1" applyAlignment="1">
      <alignment horizontal="center" vertical="center" wrapText="1"/>
    </xf>
    <xf numFmtId="0" fontId="28" fillId="12" borderId="27" xfId="3" applyFont="1" applyFill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25" xfId="3" applyFont="1" applyBorder="1" applyAlignment="1">
      <alignment horizontal="center" vertical="center" wrapText="1"/>
    </xf>
    <xf numFmtId="0" fontId="28" fillId="0" borderId="27" xfId="3" applyFont="1" applyBorder="1" applyAlignment="1">
      <alignment horizontal="center" vertical="center" wrapText="1"/>
    </xf>
    <xf numFmtId="0" fontId="28" fillId="0" borderId="26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22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0" fontId="28" fillId="12" borderId="21" xfId="3" applyFont="1" applyFill="1" applyBorder="1" applyAlignment="1">
      <alignment horizontal="center" vertical="center"/>
    </xf>
    <xf numFmtId="0" fontId="28" fillId="12" borderId="17" xfId="3" applyFont="1" applyFill="1" applyBorder="1" applyAlignment="1">
      <alignment horizontal="center" vertical="center"/>
    </xf>
    <xf numFmtId="0" fontId="28" fillId="12" borderId="22" xfId="3" applyFont="1" applyFill="1" applyBorder="1" applyAlignment="1">
      <alignment horizontal="center" vertical="center"/>
    </xf>
    <xf numFmtId="0" fontId="28" fillId="12" borderId="25" xfId="3" applyFont="1" applyFill="1" applyBorder="1" applyAlignment="1">
      <alignment horizontal="center" vertical="center"/>
    </xf>
    <xf numFmtId="0" fontId="28" fillId="12" borderId="27" xfId="3" applyFont="1" applyFill="1" applyBorder="1" applyAlignment="1">
      <alignment horizontal="center" vertical="center"/>
    </xf>
    <xf numFmtId="0" fontId="28" fillId="12" borderId="26" xfId="3" applyFont="1" applyFill="1" applyBorder="1" applyAlignment="1">
      <alignment horizontal="center" vertical="center"/>
    </xf>
    <xf numFmtId="0" fontId="9" fillId="7" borderId="12" xfId="3" applyFill="1" applyBorder="1" applyAlignment="1">
      <alignment horizontal="center" vertical="center"/>
    </xf>
    <xf numFmtId="0" fontId="9" fillId="7" borderId="29" xfId="3" applyFill="1" applyBorder="1" applyAlignment="1">
      <alignment horizontal="center" vertical="center"/>
    </xf>
    <xf numFmtId="0" fontId="28" fillId="0" borderId="0" xfId="3" applyFont="1" applyAlignment="1">
      <alignment horizontal="center" vertical="center" wrapText="1"/>
    </xf>
    <xf numFmtId="0" fontId="9" fillId="0" borderId="0" xfId="3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</cellXfs>
  <cellStyles count="11">
    <cellStyle name="Millares" xfId="7" builtinId="3"/>
    <cellStyle name="Millares 2" xfId="4" xr:uid="{00000000-0005-0000-0000-000001000000}"/>
    <cellStyle name="Millares 2 2" xfId="10" xr:uid="{00000000-0005-0000-0000-000002000000}"/>
    <cellStyle name="Millares 3" xfId="2" xr:uid="{00000000-0005-0000-0000-000003000000}"/>
    <cellStyle name="Moneda" xfId="9" builtinId="4"/>
    <cellStyle name="Moneda 2" xfId="5" xr:uid="{00000000-0005-0000-0000-000005000000}"/>
    <cellStyle name="Normal" xfId="0" builtinId="0"/>
    <cellStyle name="Normal 2" xfId="1" xr:uid="{00000000-0005-0000-0000-000007000000}"/>
    <cellStyle name="Normal 2 2" xfId="3" xr:uid="{00000000-0005-0000-0000-000008000000}"/>
    <cellStyle name="Porcentaje" xfId="8" builtinId="5"/>
    <cellStyle name="Porcentaje 5" xfId="6" xr:uid="{00000000-0005-0000-0000-00000A000000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211137</xdr:colOff>
      <xdr:row>5</xdr:row>
      <xdr:rowOff>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119187" cy="955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72005</xdr:colOff>
      <xdr:row>1</xdr:row>
      <xdr:rowOff>0</xdr:rowOff>
    </xdr:from>
    <xdr:to>
      <xdr:col>1</xdr:col>
      <xdr:colOff>817563</xdr:colOff>
      <xdr:row>4</xdr:row>
      <xdr:rowOff>1264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05" y="254308"/>
          <a:ext cx="745558" cy="6124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52917</xdr:rowOff>
    </xdr:from>
    <xdr:to>
      <xdr:col>2</xdr:col>
      <xdr:colOff>378353</xdr:colOff>
      <xdr:row>5</xdr:row>
      <xdr:rowOff>2842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52917"/>
          <a:ext cx="1119187" cy="955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31750</xdr:rowOff>
    </xdr:from>
    <xdr:to>
      <xdr:col>2</xdr:col>
      <xdr:colOff>283104</xdr:colOff>
      <xdr:row>5</xdr:row>
      <xdr:rowOff>34592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31750"/>
          <a:ext cx="1119187" cy="9553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52917</xdr:rowOff>
    </xdr:from>
    <xdr:to>
      <xdr:col>2</xdr:col>
      <xdr:colOff>131127</xdr:colOff>
      <xdr:row>5</xdr:row>
      <xdr:rowOff>2842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52917"/>
          <a:ext cx="1119187" cy="9553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59688</xdr:colOff>
      <xdr:row>0</xdr:row>
      <xdr:rowOff>59688</xdr:rowOff>
    </xdr:from>
    <xdr:to>
      <xdr:col>2</xdr:col>
      <xdr:colOff>286912</xdr:colOff>
      <xdr:row>5</xdr:row>
      <xdr:rowOff>2840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88" y="59688"/>
          <a:ext cx="1151149" cy="9147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48683</xdr:colOff>
      <xdr:row>0</xdr:row>
      <xdr:rowOff>120650</xdr:rowOff>
    </xdr:from>
    <xdr:to>
      <xdr:col>2</xdr:col>
      <xdr:colOff>336550</xdr:colOff>
      <xdr:row>4</xdr:row>
      <xdr:rowOff>91708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120650"/>
          <a:ext cx="884767" cy="7330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508000</xdr:colOff>
      <xdr:row>0</xdr:row>
      <xdr:rowOff>114300</xdr:rowOff>
    </xdr:from>
    <xdr:to>
      <xdr:col>35</xdr:col>
      <xdr:colOff>549275</xdr:colOff>
      <xdr:row>6</xdr:row>
      <xdr:rowOff>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7600" y="114300"/>
          <a:ext cx="1400175" cy="1137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43883</xdr:colOff>
      <xdr:row>0</xdr:row>
      <xdr:rowOff>104172</xdr:rowOff>
    </xdr:from>
    <xdr:to>
      <xdr:col>2</xdr:col>
      <xdr:colOff>305172</xdr:colOff>
      <xdr:row>3</xdr:row>
      <xdr:rowOff>87908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33" y="104172"/>
          <a:ext cx="718489" cy="57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duto1.sharepoint.com/CBS/CBS&amp;HYDROSISTEM/2024/Agua%20Potable%20-%20Cusco%20Huatanay/Operaci&#243;n%20de%20Obra/Operacion/Presupuesto%20de%20obra/Presupuesto%20Agua%20Potable%20CUSCO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Indirectos"/>
      <sheetName val="RESUMEN"/>
      <sheetName val="Campamento"/>
      <sheetName val="Movilizacion"/>
      <sheetName val="Oficina Huatanay"/>
      <sheetName val="Servicio PMAR"/>
    </sheetNames>
    <sheetDataSet>
      <sheetData sheetId="0">
        <row r="11">
          <cell r="C11">
            <v>3.7</v>
          </cell>
        </row>
        <row r="38">
          <cell r="C38">
            <v>62826730.110437207</v>
          </cell>
        </row>
      </sheetData>
      <sheetData sheetId="1"/>
      <sheetData sheetId="2">
        <row r="1">
          <cell r="A1" t="str">
            <v>CONDUTO PERU</v>
          </cell>
        </row>
        <row r="2">
          <cell r="A2" t="str">
            <v>AGUA POTABLE CUSCO</v>
          </cell>
        </row>
        <row r="4">
          <cell r="A4" t="str">
            <v>Rev 1</v>
          </cell>
          <cell r="M4">
            <v>45169</v>
          </cell>
        </row>
        <row r="7">
          <cell r="Z7"/>
        </row>
        <row r="115">
          <cell r="M115">
            <v>10521338.055120189</v>
          </cell>
        </row>
        <row r="127">
          <cell r="M127">
            <v>16980197.327145185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7"/>
  <sheetViews>
    <sheetView showGridLines="0" topLeftCell="A8" zoomScale="80" zoomScaleNormal="80" zoomScaleSheetLayoutView="70" workbookViewId="0">
      <selection activeCell="P11" sqref="P11"/>
    </sheetView>
  </sheetViews>
  <sheetFormatPr baseColWidth="10" defaultColWidth="11.42578125" defaultRowHeight="15" outlineLevelCol="1"/>
  <cols>
    <col min="1" max="1" width="2.85546875" style="2" customWidth="1"/>
    <col min="2" max="2" width="11.140625" style="2" bestFit="1" customWidth="1"/>
    <col min="3" max="3" width="21.85546875" style="3" customWidth="1"/>
    <col min="4" max="4" width="49.5703125" style="2" customWidth="1"/>
    <col min="5" max="5" width="21" style="3" customWidth="1"/>
    <col min="6" max="6" width="3.140625" style="2" customWidth="1"/>
    <col min="7" max="7" width="9" style="2" customWidth="1"/>
    <col min="8" max="8" width="15.85546875" style="2" hidden="1" customWidth="1" outlineLevel="1"/>
    <col min="9" max="9" width="11.140625" style="2" hidden="1" customWidth="1" outlineLevel="1"/>
    <col min="10" max="10" width="14.42578125" style="2" hidden="1" customWidth="1" outlineLevel="1"/>
    <col min="11" max="11" width="5.140625" hidden="1" customWidth="1" outlineLevel="1"/>
    <col min="12" max="12" width="19.140625" style="2" hidden="1" customWidth="1" outlineLevel="1"/>
    <col min="13" max="13" width="15.85546875" style="2" hidden="1" customWidth="1" outlineLevel="1"/>
    <col min="14" max="14" width="13.5703125" style="2" hidden="1" customWidth="1" outlineLevel="1"/>
    <col min="15" max="15" width="11.42578125" style="2" hidden="1" customWidth="1" outlineLevel="1"/>
    <col min="16" max="16" width="11.42578125" style="2" collapsed="1"/>
    <col min="17" max="16384" width="11.42578125" style="2"/>
  </cols>
  <sheetData>
    <row r="1" spans="2:14">
      <c r="L1" s="88"/>
      <c r="M1" s="32"/>
      <c r="N1" s="32"/>
    </row>
    <row r="3" spans="2:14">
      <c r="L3" s="88"/>
      <c r="M3" s="32"/>
    </row>
    <row r="4" spans="2:14" ht="18.75">
      <c r="B4" s="506" t="s">
        <v>0</v>
      </c>
      <c r="C4" s="506"/>
      <c r="D4" s="506"/>
      <c r="E4" s="506"/>
      <c r="M4" s="87"/>
      <c r="N4" s="86"/>
    </row>
    <row r="5" spans="2:14">
      <c r="M5" s="87"/>
      <c r="N5" s="86"/>
    </row>
    <row r="6" spans="2:14" ht="29.25" customHeight="1">
      <c r="B6" s="18" t="s">
        <v>1</v>
      </c>
      <c r="C6" s="507" t="s">
        <v>2</v>
      </c>
      <c r="D6" s="507"/>
      <c r="E6" s="507"/>
      <c r="M6" s="87"/>
      <c r="N6" s="86"/>
    </row>
    <row r="7" spans="2:14">
      <c r="B7" s="3"/>
      <c r="C7" s="2"/>
      <c r="H7" s="105">
        <v>0.64115615999999997</v>
      </c>
      <c r="I7" s="96" t="s">
        <v>3</v>
      </c>
      <c r="M7" s="89"/>
    </row>
    <row r="8" spans="2:14" ht="15.75" thickBot="1">
      <c r="B8" s="3"/>
      <c r="C8" s="2"/>
      <c r="H8" s="105">
        <v>0.47825000000000001</v>
      </c>
      <c r="I8" s="96" t="s">
        <v>4</v>
      </c>
    </row>
    <row r="9" spans="2:14" ht="29.25" customHeight="1">
      <c r="B9" s="19" t="s">
        <v>5</v>
      </c>
      <c r="C9" s="20" t="s">
        <v>6</v>
      </c>
      <c r="D9" s="20" t="s">
        <v>7</v>
      </c>
      <c r="E9" s="21" t="s">
        <v>8</v>
      </c>
      <c r="L9" s="88"/>
      <c r="M9" s="32"/>
    </row>
    <row r="10" spans="2:14" ht="27.75" customHeight="1">
      <c r="B10" s="4">
        <v>1</v>
      </c>
      <c r="C10" s="5" t="s">
        <v>9</v>
      </c>
      <c r="D10" s="6" t="s">
        <v>10</v>
      </c>
      <c r="E10" s="7">
        <f>+'Planilla de Cierre - META'!G2740</f>
        <v>38233786.520000011</v>
      </c>
      <c r="G10" s="2" t="s">
        <v>11</v>
      </c>
      <c r="H10" s="84"/>
      <c r="M10" s="87"/>
      <c r="N10" s="86"/>
    </row>
    <row r="11" spans="2:14" ht="27.75" customHeight="1">
      <c r="B11" s="4">
        <f>B10+1</f>
        <v>2</v>
      </c>
      <c r="C11" s="508" t="s">
        <v>12</v>
      </c>
      <c r="D11" s="6" t="s">
        <v>13</v>
      </c>
      <c r="E11" s="7">
        <f>+PMA!G15</f>
        <v>210324.86</v>
      </c>
      <c r="G11" s="2" t="s">
        <v>11</v>
      </c>
      <c r="H11" s="84"/>
      <c r="M11" s="87"/>
      <c r="N11" s="86"/>
    </row>
    <row r="12" spans="2:14" ht="27.75" customHeight="1">
      <c r="B12" s="4">
        <f>B11+1</f>
        <v>3</v>
      </c>
      <c r="C12" s="509"/>
      <c r="D12" s="6" t="s">
        <v>14</v>
      </c>
      <c r="E12" s="7">
        <f>+'INT SOCIAL'!G26</f>
        <v>494036.43000000011</v>
      </c>
      <c r="G12" s="2" t="s">
        <v>11</v>
      </c>
      <c r="H12" s="84"/>
      <c r="M12" s="87"/>
      <c r="N12" s="86"/>
    </row>
    <row r="13" spans="2:14" ht="27.75" customHeight="1">
      <c r="B13" s="4">
        <f>B12+1</f>
        <v>4</v>
      </c>
      <c r="C13" s="509"/>
      <c r="D13" s="6" t="s">
        <v>15</v>
      </c>
      <c r="E13" s="7">
        <f>'GEST AMBIENTAL'!G50</f>
        <v>343326.54999999987</v>
      </c>
      <c r="G13" s="2" t="s">
        <v>16</v>
      </c>
      <c r="H13" s="84"/>
      <c r="M13" s="87"/>
      <c r="N13" s="86"/>
    </row>
    <row r="14" spans="2:14" ht="27.75" customHeight="1">
      <c r="B14" s="4">
        <f>B13+1</f>
        <v>5</v>
      </c>
      <c r="C14" s="509"/>
      <c r="D14" s="6" t="s">
        <v>17</v>
      </c>
      <c r="E14" s="7">
        <f>PSSO!G16</f>
        <v>650114.87</v>
      </c>
      <c r="G14" s="2" t="s">
        <v>16</v>
      </c>
      <c r="H14" s="84"/>
      <c r="M14" s="89"/>
    </row>
    <row r="15" spans="2:14" ht="27.75" customHeight="1" thickBot="1">
      <c r="B15" s="8">
        <f>B14+1</f>
        <v>6</v>
      </c>
      <c r="C15" s="510"/>
      <c r="D15" s="9" t="s">
        <v>18</v>
      </c>
      <c r="E15" s="10">
        <f>+'PLAN GSMT'!G11</f>
        <v>10591.9</v>
      </c>
      <c r="G15" s="2" t="s">
        <v>11</v>
      </c>
      <c r="H15" s="84"/>
    </row>
    <row r="16" spans="2:14" ht="18" customHeight="1" thickBot="1">
      <c r="B16" s="3"/>
      <c r="C16" s="2"/>
      <c r="E16" s="2"/>
    </row>
    <row r="17" spans="2:14" ht="27.75" customHeight="1" thickBot="1">
      <c r="B17" s="3"/>
      <c r="C17" s="2"/>
      <c r="D17" s="100" t="s">
        <v>19</v>
      </c>
      <c r="E17" s="101">
        <f>SUM(E10:E16)</f>
        <v>39942181.130000003</v>
      </c>
      <c r="H17" s="76"/>
      <c r="L17" s="88"/>
      <c r="M17" s="32"/>
    </row>
    <row r="18" spans="2:14" ht="15.75" thickBot="1">
      <c r="B18" s="3"/>
      <c r="C18" s="2"/>
      <c r="G18" s="76"/>
      <c r="M18" s="87"/>
      <c r="N18" s="86"/>
    </row>
    <row r="19" spans="2:14" ht="27.75" customHeight="1" thickBot="1">
      <c r="B19" s="104"/>
      <c r="C19" s="97">
        <v>0.253</v>
      </c>
      <c r="D19" s="11" t="s">
        <v>20</v>
      </c>
      <c r="E19" s="12">
        <f>C19*E17</f>
        <v>10105371.825890001</v>
      </c>
      <c r="H19" s="87"/>
      <c r="I19" s="85"/>
      <c r="M19" s="87"/>
      <c r="N19" s="86"/>
    </row>
    <row r="20" spans="2:14" ht="17.25" customHeight="1" thickBot="1">
      <c r="B20" s="3"/>
      <c r="C20" s="2"/>
      <c r="H20" s="87"/>
      <c r="I20" s="85"/>
      <c r="M20" s="89"/>
    </row>
    <row r="21" spans="2:14" ht="27.75" customHeight="1" thickBot="1">
      <c r="B21" s="3"/>
      <c r="C21" s="98">
        <v>0.08</v>
      </c>
      <c r="D21" s="11" t="s">
        <v>21</v>
      </c>
      <c r="E21" s="12">
        <f>E17*C21</f>
        <v>3195374.4904000005</v>
      </c>
      <c r="H21" s="87"/>
      <c r="I21" s="85"/>
      <c r="J21" s="85"/>
    </row>
    <row r="22" spans="2:14" ht="11.25" customHeight="1" thickBot="1">
      <c r="B22" s="3"/>
      <c r="C22" s="2"/>
    </row>
    <row r="23" spans="2:14" ht="27.75" customHeight="1" thickBot="1">
      <c r="B23" s="3"/>
      <c r="D23" s="11" t="s">
        <v>22</v>
      </c>
      <c r="E23" s="12">
        <f>SUM(E17:E22)</f>
        <v>53242927.446290001</v>
      </c>
      <c r="J23" s="85"/>
      <c r="L23" s="88"/>
      <c r="M23" s="32"/>
    </row>
    <row r="24" spans="2:14" ht="15.75" thickBot="1">
      <c r="B24" s="3"/>
      <c r="C24" s="2"/>
    </row>
    <row r="25" spans="2:14" ht="27.75" customHeight="1" thickBot="1">
      <c r="B25" s="3"/>
      <c r="C25" s="98">
        <v>0.18</v>
      </c>
      <c r="D25" s="11" t="s">
        <v>23</v>
      </c>
      <c r="E25" s="12">
        <f>E23*C25</f>
        <v>9583726.9403322004</v>
      </c>
      <c r="J25" s="95"/>
      <c r="M25" s="87"/>
    </row>
    <row r="26" spans="2:14" ht="15.75" thickBot="1">
      <c r="B26" s="3"/>
      <c r="C26" s="2"/>
      <c r="H26" s="3" t="s">
        <v>24</v>
      </c>
      <c r="I26" s="3"/>
      <c r="J26" s="3" t="s">
        <v>25</v>
      </c>
      <c r="L26" s="90"/>
      <c r="M26" s="89"/>
    </row>
    <row r="27" spans="2:14" ht="27.75" customHeight="1" thickBot="1">
      <c r="B27" s="3"/>
      <c r="C27" s="2"/>
      <c r="D27" s="81" t="s">
        <v>26</v>
      </c>
      <c r="E27" s="82">
        <f>SUM(E23:E26)</f>
        <v>62826654.386622205</v>
      </c>
      <c r="H27" s="75">
        <v>62826654.160000019</v>
      </c>
      <c r="J27" s="102">
        <f>+H27-E27</f>
        <v>-0.22662218660116196</v>
      </c>
    </row>
    <row r="28" spans="2:14">
      <c r="B28" s="3"/>
      <c r="C28" s="2"/>
      <c r="E28" s="13"/>
      <c r="F28" s="13"/>
    </row>
    <row r="29" spans="2:14">
      <c r="B29" s="3"/>
      <c r="C29" s="2"/>
      <c r="E29" s="13"/>
      <c r="F29" s="13"/>
    </row>
    <row r="30" spans="2:14">
      <c r="B30" s="3"/>
      <c r="C30" s="2"/>
      <c r="E30" s="13"/>
      <c r="F30" s="13"/>
    </row>
    <row r="31" spans="2:14">
      <c r="B31" s="3"/>
      <c r="C31" s="2"/>
      <c r="E31" s="13"/>
      <c r="F31" s="13"/>
    </row>
    <row r="32" spans="2:14">
      <c r="B32" s="3"/>
      <c r="C32" s="2"/>
      <c r="E32" s="13"/>
      <c r="F32" s="13"/>
      <c r="M32" s="87"/>
    </row>
    <row r="33" spans="2:6">
      <c r="B33" s="3"/>
      <c r="C33" s="2"/>
      <c r="E33" s="13"/>
      <c r="F33" s="13"/>
    </row>
    <row r="34" spans="2:6">
      <c r="B34" s="3"/>
      <c r="C34" s="2"/>
      <c r="E34" s="13"/>
      <c r="F34" s="13"/>
    </row>
    <row r="35" spans="2:6">
      <c r="C35" s="14" t="s">
        <v>27</v>
      </c>
      <c r="D35" s="511">
        <v>45173</v>
      </c>
      <c r="E35" s="511"/>
      <c r="F35" s="15"/>
    </row>
    <row r="36" spans="2:6">
      <c r="C36" s="16" t="s">
        <v>28</v>
      </c>
      <c r="D36" s="17"/>
    </row>
    <row r="37" spans="2:6">
      <c r="C37" s="16" t="s">
        <v>29</v>
      </c>
      <c r="D37" s="15"/>
      <c r="E37" s="15"/>
      <c r="F37" s="15"/>
    </row>
  </sheetData>
  <mergeCells count="4">
    <mergeCell ref="B4:E4"/>
    <mergeCell ref="C6:E6"/>
    <mergeCell ref="C11:C15"/>
    <mergeCell ref="D35:E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&amp;R&amp;P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4:K62"/>
  <sheetViews>
    <sheetView showGridLines="0" view="pageBreakPreview" topLeftCell="A17" zoomScaleNormal="90" zoomScaleSheetLayoutView="100" workbookViewId="0">
      <selection activeCell="E2" sqref="E2"/>
    </sheetView>
  </sheetViews>
  <sheetFormatPr baseColWidth="10" defaultColWidth="11.42578125" defaultRowHeight="15"/>
  <cols>
    <col min="1" max="1" width="2" style="2" customWidth="1"/>
    <col min="2" max="2" width="14.85546875" style="3" bestFit="1" customWidth="1"/>
    <col min="3" max="3" width="68.140625" style="2" customWidth="1"/>
    <col min="4" max="4" width="7.42578125" style="3" bestFit="1" customWidth="1"/>
    <col min="5" max="5" width="9.85546875" style="3" customWidth="1"/>
    <col min="6" max="7" width="16.42578125" style="66" customWidth="1"/>
    <col min="8" max="8" width="1.5703125" style="2" customWidth="1"/>
    <col min="9" max="9" width="11.42578125" style="2"/>
    <col min="10" max="10" width="12" style="2" bestFit="1" customWidth="1"/>
    <col min="11" max="11" width="14" style="2" bestFit="1" customWidth="1"/>
    <col min="12" max="16384" width="11.42578125" style="2"/>
  </cols>
  <sheetData>
    <row r="4" spans="2:11" ht="18.75">
      <c r="B4" s="46" t="s">
        <v>4288</v>
      </c>
      <c r="C4" s="32"/>
      <c r="D4" s="32"/>
      <c r="E4" s="32"/>
      <c r="F4" s="99"/>
      <c r="G4" s="99"/>
    </row>
    <row r="5" spans="2:11" ht="15.75">
      <c r="B5" s="45" t="s">
        <v>4227</v>
      </c>
      <c r="C5" s="32"/>
      <c r="D5" s="32"/>
      <c r="E5" s="32"/>
      <c r="F5" s="99"/>
      <c r="G5" s="99"/>
    </row>
    <row r="6" spans="2:11">
      <c r="B6" s="37" t="s">
        <v>32</v>
      </c>
    </row>
    <row r="7" spans="2:11" ht="15.75">
      <c r="B7" s="68" t="s">
        <v>4289</v>
      </c>
      <c r="C7" s="68" t="s">
        <v>4247</v>
      </c>
      <c r="D7" s="68" t="s">
        <v>35</v>
      </c>
      <c r="E7" s="68" t="s">
        <v>4248</v>
      </c>
      <c r="F7" s="69" t="s">
        <v>4229</v>
      </c>
      <c r="G7" s="69" t="s">
        <v>4230</v>
      </c>
      <c r="J7" s="69" t="s">
        <v>4229</v>
      </c>
      <c r="K7" s="69" t="s">
        <v>24</v>
      </c>
    </row>
    <row r="8" spans="2:11" s="112" customFormat="1">
      <c r="B8" s="78">
        <v>1</v>
      </c>
      <c r="C8" s="79" t="s">
        <v>3801</v>
      </c>
      <c r="D8" s="78"/>
      <c r="E8" s="78"/>
      <c r="F8" s="111"/>
      <c r="G8" s="111"/>
      <c r="J8" s="111"/>
      <c r="K8" s="111"/>
    </row>
    <row r="9" spans="2:11" s="112" customFormat="1">
      <c r="B9" s="113">
        <v>1.01</v>
      </c>
      <c r="C9" s="114" t="s">
        <v>3907</v>
      </c>
      <c r="D9" s="113" t="s">
        <v>287</v>
      </c>
      <c r="E9" s="113">
        <v>16</v>
      </c>
      <c r="F9" s="115">
        <f>ROUND(J9*'RESUMEN OFERTA'!$H$8,2)</f>
        <v>3027.09</v>
      </c>
      <c r="G9" s="115">
        <f>ROUND(F9*E9,2)</f>
        <v>48433.440000000002</v>
      </c>
      <c r="J9" s="115">
        <v>6329.52</v>
      </c>
      <c r="K9" s="115">
        <f>ROUND(J9*E9,2)</f>
        <v>101272.32000000001</v>
      </c>
    </row>
    <row r="10" spans="2:11" s="112" customFormat="1">
      <c r="B10" s="78">
        <v>2</v>
      </c>
      <c r="C10" s="79" t="s">
        <v>4290</v>
      </c>
      <c r="D10" s="78"/>
      <c r="E10" s="78"/>
      <c r="F10" s="111"/>
      <c r="G10" s="111"/>
      <c r="J10" s="111"/>
      <c r="K10" s="111"/>
    </row>
    <row r="11" spans="2:11" s="112" customFormat="1">
      <c r="B11" s="78">
        <v>2.0099999999999998</v>
      </c>
      <c r="C11" s="79" t="s">
        <v>4291</v>
      </c>
      <c r="D11" s="78"/>
      <c r="E11" s="78"/>
      <c r="F11" s="111"/>
      <c r="G11" s="111"/>
      <c r="J11" s="111"/>
      <c r="K11" s="111"/>
    </row>
    <row r="12" spans="2:11">
      <c r="B12" s="544" t="s">
        <v>1646</v>
      </c>
      <c r="C12" s="114" t="s">
        <v>4292</v>
      </c>
      <c r="D12" s="113" t="s">
        <v>4046</v>
      </c>
      <c r="E12" s="113">
        <v>150</v>
      </c>
      <c r="F12" s="115">
        <f>ROUND(J12*'RESUMEN OFERTA'!$H$8,2)</f>
        <v>13.54</v>
      </c>
      <c r="G12" s="115">
        <f>ROUND(F12*E12,2)</f>
        <v>2031</v>
      </c>
      <c r="J12" s="53">
        <v>28.32</v>
      </c>
      <c r="K12" s="53">
        <f>ROUND(J12*E12,2)</f>
        <v>4248</v>
      </c>
    </row>
    <row r="13" spans="2:11">
      <c r="B13" s="545"/>
      <c r="C13" s="114" t="s">
        <v>4293</v>
      </c>
      <c r="D13" s="113" t="s">
        <v>4046</v>
      </c>
      <c r="E13" s="113">
        <v>130</v>
      </c>
      <c r="F13" s="115">
        <f>ROUND(J13*'RESUMEN OFERTA'!$H$8,2)</f>
        <v>28.22</v>
      </c>
      <c r="G13" s="115">
        <f>ROUND(F13*E13,2)</f>
        <v>3668.6</v>
      </c>
      <c r="J13" s="53">
        <v>59</v>
      </c>
      <c r="K13" s="53">
        <f>ROUND(J13*E13,2)</f>
        <v>7670</v>
      </c>
    </row>
    <row r="14" spans="2:11">
      <c r="B14" s="544" t="s">
        <v>1730</v>
      </c>
      <c r="C14" s="114" t="s">
        <v>4294</v>
      </c>
      <c r="D14" s="544" t="s">
        <v>4196</v>
      </c>
      <c r="E14" s="544">
        <v>1</v>
      </c>
      <c r="F14" s="546">
        <f>ROUND(J14*'RESUMEN OFERTA'!$H$8,2)</f>
        <v>282.17</v>
      </c>
      <c r="G14" s="546">
        <f>ROUND(F14*E14,2)</f>
        <v>282.17</v>
      </c>
      <c r="J14" s="542">
        <v>590</v>
      </c>
      <c r="K14" s="542">
        <f>E14*J14</f>
        <v>590</v>
      </c>
    </row>
    <row r="15" spans="2:11" ht="30">
      <c r="B15" s="545"/>
      <c r="C15" s="114" t="s">
        <v>4295</v>
      </c>
      <c r="D15" s="545"/>
      <c r="E15" s="545"/>
      <c r="F15" s="547"/>
      <c r="G15" s="547"/>
      <c r="J15" s="543"/>
      <c r="K15" s="543"/>
    </row>
    <row r="16" spans="2:11">
      <c r="B16" s="113" t="s">
        <v>2050</v>
      </c>
      <c r="C16" s="114" t="s">
        <v>4296</v>
      </c>
      <c r="D16" s="113" t="s">
        <v>287</v>
      </c>
      <c r="E16" s="113">
        <v>12</v>
      </c>
      <c r="F16" s="115">
        <f>ROUND(J16*'RESUMEN OFERTA'!$H$8,2)</f>
        <v>11.29</v>
      </c>
      <c r="G16" s="115">
        <f>ROUND(F16*E16,2)</f>
        <v>135.47999999999999</v>
      </c>
      <c r="J16" s="53">
        <v>23.6</v>
      </c>
      <c r="K16" s="53">
        <f>ROUND(J16*E16,2)</f>
        <v>283.2</v>
      </c>
    </row>
    <row r="17" spans="2:11">
      <c r="B17" s="67">
        <v>2.02</v>
      </c>
      <c r="C17" s="26" t="s">
        <v>4297</v>
      </c>
      <c r="D17" s="67"/>
      <c r="E17" s="67"/>
      <c r="F17" s="77"/>
      <c r="G17" s="77"/>
      <c r="J17" s="77"/>
      <c r="K17" s="77"/>
    </row>
    <row r="18" spans="2:11">
      <c r="B18" s="25" t="s">
        <v>2162</v>
      </c>
      <c r="C18" s="27" t="s">
        <v>4298</v>
      </c>
      <c r="D18" s="25"/>
      <c r="E18" s="25"/>
      <c r="F18" s="53"/>
      <c r="G18" s="53"/>
      <c r="J18" s="53"/>
      <c r="K18" s="53"/>
    </row>
    <row r="19" spans="2:11" s="112" customFormat="1">
      <c r="B19" s="113"/>
      <c r="C19" s="114" t="s">
        <v>4299</v>
      </c>
      <c r="D19" s="113" t="s">
        <v>287</v>
      </c>
      <c r="E19" s="113">
        <v>5</v>
      </c>
      <c r="F19" s="115">
        <f>ROUND(J19*'RESUMEN OFERTA'!$H$8,2)</f>
        <v>141.08000000000001</v>
      </c>
      <c r="G19" s="115">
        <f>ROUND(F19*E19,2)</f>
        <v>705.4</v>
      </c>
      <c r="J19" s="115">
        <v>295</v>
      </c>
      <c r="K19" s="115">
        <f>ROUND(J19*E19,2)</f>
        <v>1475</v>
      </c>
    </row>
    <row r="20" spans="2:11" s="112" customFormat="1">
      <c r="B20" s="113"/>
      <c r="C20" s="114" t="s">
        <v>4300</v>
      </c>
      <c r="D20" s="113" t="s">
        <v>287</v>
      </c>
      <c r="E20" s="113">
        <v>2</v>
      </c>
      <c r="F20" s="115">
        <f>ROUND(J20*'RESUMEN OFERTA'!$H$8,2)</f>
        <v>84.65</v>
      </c>
      <c r="G20" s="115">
        <f>ROUND(F20*E20,2)</f>
        <v>169.3</v>
      </c>
      <c r="J20" s="115">
        <v>177</v>
      </c>
      <c r="K20" s="115">
        <f>ROUND(J20*E20,2)</f>
        <v>354</v>
      </c>
    </row>
    <row r="21" spans="2:11" s="112" customFormat="1" ht="30">
      <c r="B21" s="113"/>
      <c r="C21" s="114" t="s">
        <v>4301</v>
      </c>
      <c r="D21" s="113" t="s">
        <v>287</v>
      </c>
      <c r="E21" s="113">
        <v>7</v>
      </c>
      <c r="F21" s="115">
        <f>ROUND(J21*'RESUMEN OFERTA'!$H$8,2)</f>
        <v>84.65</v>
      </c>
      <c r="G21" s="115">
        <f>ROUND(F21*E21,2)</f>
        <v>592.54999999999995</v>
      </c>
      <c r="J21" s="115">
        <v>177</v>
      </c>
      <c r="K21" s="115">
        <f>ROUND(J21*E21,2)</f>
        <v>1239</v>
      </c>
    </row>
    <row r="22" spans="2:11">
      <c r="B22" s="25" t="s">
        <v>2248</v>
      </c>
      <c r="C22" s="27" t="s">
        <v>4302</v>
      </c>
      <c r="D22" s="25"/>
      <c r="E22" s="25"/>
      <c r="F22" s="53"/>
      <c r="G22" s="53"/>
      <c r="J22" s="53"/>
      <c r="K22" s="53"/>
    </row>
    <row r="23" spans="2:11" s="112" customFormat="1">
      <c r="B23" s="113"/>
      <c r="C23" s="114" t="s">
        <v>4303</v>
      </c>
      <c r="D23" s="116" t="s">
        <v>4047</v>
      </c>
      <c r="E23" s="113">
        <v>2</v>
      </c>
      <c r="F23" s="115">
        <f>ROUND(J23*'RESUMEN OFERTA'!$H$8,2)</f>
        <v>564.34</v>
      </c>
      <c r="G23" s="115">
        <f>ROUND(F23*E23,2)</f>
        <v>1128.68</v>
      </c>
      <c r="J23" s="115">
        <v>1180</v>
      </c>
      <c r="K23" s="115">
        <f>ROUND(J23*E23,2)</f>
        <v>2360</v>
      </c>
    </row>
    <row r="24" spans="2:11" s="112" customFormat="1" ht="30">
      <c r="B24" s="113"/>
      <c r="C24" s="114" t="s">
        <v>4304</v>
      </c>
      <c r="D24" s="117" t="s">
        <v>4305</v>
      </c>
      <c r="E24" s="113">
        <v>12</v>
      </c>
      <c r="F24" s="115">
        <f>ROUND(J24*'RESUMEN OFERTA'!$H$8,2)</f>
        <v>846.5</v>
      </c>
      <c r="G24" s="115">
        <f>ROUND(F24*E24,2)</f>
        <v>10158</v>
      </c>
      <c r="J24" s="115">
        <v>1770</v>
      </c>
      <c r="K24" s="115">
        <f>ROUND(J24*E24,2)</f>
        <v>21240</v>
      </c>
    </row>
    <row r="25" spans="2:11" s="112" customFormat="1">
      <c r="B25" s="113" t="s">
        <v>2481</v>
      </c>
      <c r="C25" s="114" t="s">
        <v>4306</v>
      </c>
      <c r="D25" s="113" t="s">
        <v>4047</v>
      </c>
      <c r="E25" s="118">
        <v>39061.980000000003</v>
      </c>
      <c r="F25" s="115">
        <f>ROUND(J25*'RESUMEN OFERTA'!$H$8,2)</f>
        <v>2.37</v>
      </c>
      <c r="G25" s="115">
        <f>ROUND(F25*E25,2)</f>
        <v>92576.89</v>
      </c>
      <c r="J25" s="115">
        <v>4.96</v>
      </c>
      <c r="K25" s="115">
        <f>ROUND(J25*E25,2)</f>
        <v>193747.42</v>
      </c>
    </row>
    <row r="26" spans="2:11" s="112" customFormat="1">
      <c r="B26" s="113" t="s">
        <v>4307</v>
      </c>
      <c r="C26" s="114" t="s">
        <v>4308</v>
      </c>
      <c r="D26" s="113" t="s">
        <v>1872</v>
      </c>
      <c r="E26" s="113">
        <v>1</v>
      </c>
      <c r="F26" s="115">
        <f>ROUND(J26*'RESUMEN OFERTA'!$H$8,2)</f>
        <v>1693.01</v>
      </c>
      <c r="G26" s="115">
        <f>ROUND(F26*E26,2)</f>
        <v>1693.01</v>
      </c>
      <c r="J26" s="115">
        <v>3540</v>
      </c>
      <c r="K26" s="115">
        <f>ROUND(J26*E26,2)</f>
        <v>3540</v>
      </c>
    </row>
    <row r="27" spans="2:11" s="112" customFormat="1">
      <c r="B27" s="78">
        <v>2.0299999999999998</v>
      </c>
      <c r="C27" s="79" t="s">
        <v>4309</v>
      </c>
      <c r="D27" s="78"/>
      <c r="E27" s="78"/>
      <c r="F27" s="111"/>
      <c r="G27" s="111"/>
      <c r="J27" s="111"/>
      <c r="K27" s="111"/>
    </row>
    <row r="28" spans="2:11" s="112" customFormat="1">
      <c r="B28" s="113" t="s">
        <v>2624</v>
      </c>
      <c r="C28" s="114" t="s">
        <v>4310</v>
      </c>
      <c r="D28" s="113" t="s">
        <v>4046</v>
      </c>
      <c r="E28" s="118">
        <v>23554.02</v>
      </c>
      <c r="F28" s="115">
        <f>ROUND(J28*'RESUMEN OFERTA'!$H$8,2)</f>
        <v>3.95</v>
      </c>
      <c r="G28" s="115">
        <f>ROUND(F28*E28,2)</f>
        <v>93038.38</v>
      </c>
      <c r="J28" s="115">
        <v>8.26</v>
      </c>
      <c r="K28" s="115">
        <f>ROUND(J28*E28,2)</f>
        <v>194556.21</v>
      </c>
    </row>
    <row r="29" spans="2:11" s="112" customFormat="1">
      <c r="B29" s="78">
        <v>2.04</v>
      </c>
      <c r="C29" s="79" t="s">
        <v>4311</v>
      </c>
      <c r="D29" s="113"/>
      <c r="E29" s="113"/>
      <c r="F29" s="115"/>
      <c r="G29" s="115"/>
      <c r="J29" s="115"/>
      <c r="K29" s="115"/>
    </row>
    <row r="30" spans="2:11" s="112" customFormat="1">
      <c r="B30" s="113" t="s">
        <v>2931</v>
      </c>
      <c r="C30" s="114" t="s">
        <v>4312</v>
      </c>
      <c r="D30" s="113" t="s">
        <v>287</v>
      </c>
      <c r="E30" s="113">
        <v>5</v>
      </c>
      <c r="F30" s="115">
        <f>ROUND(J30*'RESUMEN OFERTA'!$H$8,2)</f>
        <v>1015.8</v>
      </c>
      <c r="G30" s="115">
        <f>ROUND(F30*E30,2)</f>
        <v>5079</v>
      </c>
      <c r="J30" s="115">
        <v>2124</v>
      </c>
      <c r="K30" s="115">
        <f>ROUND(J30*E30,2)</f>
        <v>10620</v>
      </c>
    </row>
    <row r="31" spans="2:11" s="112" customFormat="1">
      <c r="B31" s="113" t="s">
        <v>4313</v>
      </c>
      <c r="C31" s="114" t="s">
        <v>4314</v>
      </c>
      <c r="D31" s="113" t="s">
        <v>287</v>
      </c>
      <c r="E31" s="113">
        <v>5</v>
      </c>
      <c r="F31" s="115">
        <f>ROUND(J31*'RESUMEN OFERTA'!$H$8,2)</f>
        <v>12979.71</v>
      </c>
      <c r="G31" s="115">
        <f>ROUND(F31*E31,2)</f>
        <v>64898.55</v>
      </c>
      <c r="J31" s="115">
        <v>27140</v>
      </c>
      <c r="K31" s="115">
        <f>ROUND(J31*E31,2)</f>
        <v>135700</v>
      </c>
    </row>
    <row r="32" spans="2:11" s="112" customFormat="1">
      <c r="B32" s="78">
        <v>2.0499999999999998</v>
      </c>
      <c r="C32" s="79" t="s">
        <v>4315</v>
      </c>
      <c r="D32" s="113"/>
      <c r="E32" s="113"/>
      <c r="F32" s="115"/>
      <c r="G32" s="115"/>
      <c r="J32" s="115"/>
      <c r="K32" s="115"/>
    </row>
    <row r="33" spans="2:11" s="112" customFormat="1">
      <c r="B33" s="113" t="s">
        <v>4316</v>
      </c>
      <c r="C33" s="114" t="s">
        <v>4317</v>
      </c>
      <c r="D33" s="113" t="s">
        <v>287</v>
      </c>
      <c r="E33" s="113">
        <v>1</v>
      </c>
      <c r="F33" s="115">
        <f>ROUND(J33*'RESUMEN OFERTA'!$H$8,2)</f>
        <v>2821.68</v>
      </c>
      <c r="G33" s="115">
        <f>ROUND(F33*E33,2)</f>
        <v>2821.68</v>
      </c>
      <c r="J33" s="115">
        <v>5900</v>
      </c>
      <c r="K33" s="115">
        <f>ROUND(J33*E33,2)</f>
        <v>5900</v>
      </c>
    </row>
    <row r="34" spans="2:11">
      <c r="B34" s="67">
        <v>2.06</v>
      </c>
      <c r="C34" s="26" t="s">
        <v>4318</v>
      </c>
      <c r="D34" s="25"/>
      <c r="E34" s="25"/>
      <c r="F34" s="53"/>
      <c r="G34" s="53"/>
      <c r="J34" s="53"/>
      <c r="K34" s="53"/>
    </row>
    <row r="35" spans="2:11">
      <c r="B35" s="25" t="s">
        <v>4319</v>
      </c>
      <c r="C35" s="27" t="s">
        <v>4320</v>
      </c>
      <c r="D35" s="25"/>
      <c r="E35" s="25"/>
      <c r="F35" s="53"/>
      <c r="G35" s="53"/>
      <c r="J35" s="53"/>
      <c r="K35" s="53"/>
    </row>
    <row r="36" spans="2:11" s="112" customFormat="1">
      <c r="B36" s="113"/>
      <c r="C36" s="114" t="s">
        <v>4321</v>
      </c>
      <c r="D36" s="113" t="s">
        <v>4322</v>
      </c>
      <c r="E36" s="113">
        <v>16</v>
      </c>
      <c r="F36" s="115">
        <f>ROUND(J36*'RESUMEN OFERTA'!$H$8,2)</f>
        <v>282.17</v>
      </c>
      <c r="G36" s="115">
        <f>ROUND(F36*E36,2)</f>
        <v>4514.72</v>
      </c>
      <c r="J36" s="115">
        <v>590</v>
      </c>
      <c r="K36" s="115">
        <f>ROUND(J36*E36,2)</f>
        <v>9440</v>
      </c>
    </row>
    <row r="37" spans="2:11" s="112" customFormat="1">
      <c r="B37" s="113"/>
      <c r="C37" s="114" t="s">
        <v>4323</v>
      </c>
      <c r="D37" s="113" t="s">
        <v>4322</v>
      </c>
      <c r="E37" s="113">
        <v>14</v>
      </c>
      <c r="F37" s="115">
        <f>ROUND(J37*'RESUMEN OFERTA'!$H$8,2)</f>
        <v>282.17</v>
      </c>
      <c r="G37" s="115">
        <f>ROUND(F37*E37,2)</f>
        <v>3950.38</v>
      </c>
      <c r="J37" s="115">
        <v>590</v>
      </c>
      <c r="K37" s="115">
        <f>ROUND(J37*E37,2)</f>
        <v>8260</v>
      </c>
    </row>
    <row r="38" spans="2:11" s="112" customFormat="1">
      <c r="B38" s="113"/>
      <c r="C38" s="114" t="s">
        <v>4324</v>
      </c>
      <c r="D38" s="113" t="s">
        <v>4322</v>
      </c>
      <c r="E38" s="113">
        <v>4</v>
      </c>
      <c r="F38" s="115">
        <f>ROUND(J38*'RESUMEN OFERTA'!$H$8,2)</f>
        <v>282.17</v>
      </c>
      <c r="G38" s="115">
        <f>ROUND(F38*E38,2)</f>
        <v>1128.68</v>
      </c>
      <c r="J38" s="115">
        <v>590</v>
      </c>
      <c r="K38" s="115">
        <f>ROUND(J38*E38,2)</f>
        <v>2360</v>
      </c>
    </row>
    <row r="39" spans="2:11" s="112" customFormat="1">
      <c r="B39" s="113" t="s">
        <v>4325</v>
      </c>
      <c r="C39" s="114" t="s">
        <v>4326</v>
      </c>
      <c r="D39" s="113" t="s">
        <v>4327</v>
      </c>
      <c r="E39" s="113">
        <v>1</v>
      </c>
      <c r="F39" s="115">
        <f>ROUND(J39*'RESUMEN OFERTA'!$H$8,2)</f>
        <v>451.47</v>
      </c>
      <c r="G39" s="115">
        <f>ROUND(F39*E39,2)</f>
        <v>451.47</v>
      </c>
      <c r="J39" s="115">
        <v>944</v>
      </c>
      <c r="K39" s="115">
        <f>ROUND(J39*E39,2)</f>
        <v>944</v>
      </c>
    </row>
    <row r="40" spans="2:11">
      <c r="B40" s="67">
        <v>2.0699999999999998</v>
      </c>
      <c r="C40" s="26" t="s">
        <v>4328</v>
      </c>
      <c r="D40" s="25"/>
      <c r="E40" s="25"/>
      <c r="F40" s="53"/>
      <c r="G40" s="53"/>
      <c r="J40" s="53"/>
      <c r="K40" s="53"/>
    </row>
    <row r="41" spans="2:11">
      <c r="B41" s="25" t="s">
        <v>4329</v>
      </c>
      <c r="C41" s="27" t="s">
        <v>4330</v>
      </c>
      <c r="D41" s="25"/>
      <c r="E41" s="25"/>
      <c r="F41" s="53"/>
      <c r="G41" s="53"/>
      <c r="J41" s="53"/>
      <c r="K41" s="53"/>
    </row>
    <row r="42" spans="2:11" s="112" customFormat="1">
      <c r="B42" s="113"/>
      <c r="C42" s="114" t="s">
        <v>4331</v>
      </c>
      <c r="D42" s="113" t="s">
        <v>287</v>
      </c>
      <c r="E42" s="113">
        <v>2</v>
      </c>
      <c r="F42" s="115">
        <f>ROUND(J42*'RESUMEN OFERTA'!$H$8,2)</f>
        <v>564.34</v>
      </c>
      <c r="G42" s="115">
        <f>ROUND(F42*E42,2)</f>
        <v>1128.68</v>
      </c>
      <c r="J42" s="115">
        <v>1180</v>
      </c>
      <c r="K42" s="115">
        <f>ROUND(J42*E42,2)</f>
        <v>2360</v>
      </c>
    </row>
    <row r="43" spans="2:11" s="112" customFormat="1">
      <c r="B43" s="113"/>
      <c r="C43" s="114" t="s">
        <v>4332</v>
      </c>
      <c r="D43" s="113" t="s">
        <v>287</v>
      </c>
      <c r="E43" s="113">
        <v>2</v>
      </c>
      <c r="F43" s="115">
        <f>ROUND(J43*'RESUMEN OFERTA'!$H$8,2)</f>
        <v>564.34</v>
      </c>
      <c r="G43" s="115">
        <f>ROUND(F43*E43,2)</f>
        <v>1128.68</v>
      </c>
      <c r="J43" s="115">
        <v>1180</v>
      </c>
      <c r="K43" s="115">
        <f>ROUND(J43*E43,2)</f>
        <v>2360</v>
      </c>
    </row>
    <row r="44" spans="2:11" s="112" customFormat="1">
      <c r="B44" s="113"/>
      <c r="C44" s="114" t="s">
        <v>4333</v>
      </c>
      <c r="D44" s="113" t="s">
        <v>287</v>
      </c>
      <c r="E44" s="113">
        <v>2</v>
      </c>
      <c r="F44" s="115">
        <f>ROUND(J44*'RESUMEN OFERTA'!$H$8,2)</f>
        <v>564.34</v>
      </c>
      <c r="G44" s="115">
        <f>ROUND(F44*E44,2)</f>
        <v>1128.68</v>
      </c>
      <c r="J44" s="115">
        <v>1180</v>
      </c>
      <c r="K44" s="115">
        <f>ROUND(J44*E44,2)</f>
        <v>2360</v>
      </c>
    </row>
    <row r="45" spans="2:11" ht="30">
      <c r="B45" s="25" t="s">
        <v>4334</v>
      </c>
      <c r="C45" s="27" t="s">
        <v>4335</v>
      </c>
      <c r="D45" s="25"/>
      <c r="E45" s="25"/>
      <c r="F45" s="53"/>
      <c r="G45" s="53"/>
      <c r="J45" s="53"/>
      <c r="K45" s="53"/>
    </row>
    <row r="46" spans="2:11" s="112" customFormat="1">
      <c r="B46" s="113"/>
      <c r="C46" s="114" t="s">
        <v>4336</v>
      </c>
      <c r="D46" s="113" t="s">
        <v>287</v>
      </c>
      <c r="E46" s="113">
        <v>18</v>
      </c>
      <c r="F46" s="115">
        <f>ROUND(J46*'RESUMEN OFERTA'!$H$8,2)</f>
        <v>112.87</v>
      </c>
      <c r="G46" s="115">
        <f>ROUND(F46*E46,2)</f>
        <v>2031.66</v>
      </c>
      <c r="J46" s="115">
        <v>236</v>
      </c>
      <c r="K46" s="115">
        <f>ROUND(J46*E46,2)</f>
        <v>4248</v>
      </c>
    </row>
    <row r="47" spans="2:11" s="112" customFormat="1" ht="30">
      <c r="B47" s="113"/>
      <c r="C47" s="114" t="s">
        <v>4337</v>
      </c>
      <c r="D47" s="113" t="s">
        <v>287</v>
      </c>
      <c r="E47" s="113">
        <v>2</v>
      </c>
      <c r="F47" s="115">
        <f>ROUND(J47*'RESUMEN OFERTA'!$H$8,2)</f>
        <v>112.87</v>
      </c>
      <c r="G47" s="115">
        <f>ROUND(F47*E47,2)</f>
        <v>225.74</v>
      </c>
      <c r="J47" s="115">
        <v>236</v>
      </c>
      <c r="K47" s="115">
        <f>ROUND(J47*E47,2)</f>
        <v>472</v>
      </c>
    </row>
    <row r="48" spans="2:11">
      <c r="B48" s="67">
        <v>2.08</v>
      </c>
      <c r="C48" s="26" t="s">
        <v>4338</v>
      </c>
      <c r="D48" s="25"/>
      <c r="E48" s="25"/>
      <c r="F48" s="53"/>
      <c r="G48" s="53"/>
      <c r="J48" s="53"/>
      <c r="K48" s="53">
        <f>ROUND(J48*E48,2)</f>
        <v>0</v>
      </c>
    </row>
    <row r="49" spans="2:11">
      <c r="B49" s="25" t="s">
        <v>4339</v>
      </c>
      <c r="C49" s="27" t="s">
        <v>4340</v>
      </c>
      <c r="D49" s="25" t="s">
        <v>4327</v>
      </c>
      <c r="E49" s="25">
        <v>1</v>
      </c>
      <c r="F49" s="53">
        <f>ROUND(J49*'RESUMEN OFERTA'!$H$8,2)</f>
        <v>225.73</v>
      </c>
      <c r="G49" s="53">
        <f>ROUND(F49*E49,2)</f>
        <v>225.73</v>
      </c>
      <c r="J49" s="53">
        <v>472</v>
      </c>
      <c r="K49" s="53">
        <f>ROUND(J49*E49,2)</f>
        <v>472</v>
      </c>
    </row>
    <row r="50" spans="2:11" ht="15.75">
      <c r="B50" s="91" t="s">
        <v>4341</v>
      </c>
      <c r="C50" s="92"/>
      <c r="D50" s="92"/>
      <c r="E50" s="92"/>
      <c r="F50" s="93"/>
      <c r="G50" s="30">
        <f>SUM(G8:G49)</f>
        <v>343326.54999999987</v>
      </c>
      <c r="J50" s="93"/>
      <c r="K50" s="30">
        <f>SUM(K8:K49)</f>
        <v>718071.15</v>
      </c>
    </row>
    <row r="52" spans="2:11">
      <c r="D52" s="2"/>
      <c r="F52" s="2"/>
      <c r="G52" s="3"/>
    </row>
    <row r="53" spans="2:11">
      <c r="D53" s="2"/>
      <c r="F53" s="2"/>
      <c r="G53" s="3"/>
    </row>
    <row r="54" spans="2:11">
      <c r="D54" s="2"/>
      <c r="F54" s="2"/>
      <c r="G54" s="3"/>
    </row>
    <row r="55" spans="2:11">
      <c r="D55" s="2"/>
      <c r="F55" s="2"/>
      <c r="G55" s="3"/>
    </row>
    <row r="56" spans="2:11">
      <c r="D56" s="2"/>
      <c r="F56" s="2"/>
      <c r="G56" s="3"/>
    </row>
    <row r="57" spans="2:11">
      <c r="D57" s="2"/>
      <c r="F57" s="2"/>
      <c r="G57" s="3"/>
    </row>
    <row r="58" spans="2:11">
      <c r="D58" s="2"/>
      <c r="F58" s="2"/>
      <c r="G58" s="3"/>
    </row>
    <row r="59" spans="2:11">
      <c r="D59" s="2"/>
      <c r="E59" s="13"/>
      <c r="F59" s="2"/>
      <c r="G59" s="3"/>
    </row>
    <row r="60" spans="2:11">
      <c r="C60" s="14" t="str">
        <f>'RESUMEN OFERTA'!C35</f>
        <v>PATRICIO RICAURTE</v>
      </c>
      <c r="D60" s="2"/>
      <c r="E60" s="2"/>
      <c r="F60" s="2"/>
      <c r="G60" s="3"/>
    </row>
    <row r="61" spans="2:11">
      <c r="C61" s="16" t="str">
        <f>'RESUMEN OFERTA'!C36</f>
        <v>Representante Legal</v>
      </c>
      <c r="D61" s="94"/>
      <c r="F61" s="511">
        <f>'RESUMEN OFERTA'!D35</f>
        <v>45173</v>
      </c>
      <c r="G61" s="511"/>
    </row>
    <row r="62" spans="2:11">
      <c r="C62" s="16" t="str">
        <f>'RESUMEN OFERTA'!C37</f>
        <v>CONSORCIO RIO HUATANAY</v>
      </c>
      <c r="D62" s="15"/>
      <c r="E62" s="15"/>
      <c r="F62" s="2"/>
      <c r="G62" s="3"/>
    </row>
  </sheetData>
  <autoFilter ref="B7:H50" xr:uid="{00000000-0009-0000-0000-000009000000}"/>
  <mergeCells count="9">
    <mergeCell ref="J14:J15"/>
    <mergeCell ref="K14:K15"/>
    <mergeCell ref="B12:B13"/>
    <mergeCell ref="F61:G61"/>
    <mergeCell ref="B14:B15"/>
    <mergeCell ref="D14:D15"/>
    <mergeCell ref="E14:E15"/>
    <mergeCell ref="G14:G15"/>
    <mergeCell ref="F14:F15"/>
  </mergeCells>
  <printOptions horizontalCentered="1"/>
  <pageMargins left="0.59055118110236227" right="0.39370078740157483" top="0.39370078740157483" bottom="0.39370078740157483" header="0" footer="0"/>
  <pageSetup paperSize="9" scale="68" orientation="portrait" horizontalDpi="1200" verticalDpi="1200" r:id="rId1"/>
  <headerFooter>
    <oddFooter>&amp;R&amp;P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K29"/>
  <sheetViews>
    <sheetView showGridLines="0" view="pageBreakPreview" zoomScaleNormal="100" zoomScaleSheetLayoutView="100" workbookViewId="0">
      <selection activeCell="D20" sqref="D20:D21"/>
    </sheetView>
  </sheetViews>
  <sheetFormatPr baseColWidth="10" defaultColWidth="11.42578125" defaultRowHeight="15"/>
  <cols>
    <col min="1" max="1" width="2.140625" style="2" customWidth="1"/>
    <col min="2" max="2" width="11.140625" style="2" customWidth="1"/>
    <col min="3" max="3" width="53.42578125" style="2" customWidth="1"/>
    <col min="4" max="4" width="7.42578125" style="2" bestFit="1" customWidth="1"/>
    <col min="5" max="5" width="9.85546875" style="2" bestFit="1" customWidth="1"/>
    <col min="6" max="6" width="16.85546875" style="2" customWidth="1"/>
    <col min="7" max="7" width="19.140625" style="3" customWidth="1"/>
    <col min="8" max="8" width="1.42578125" style="2" customWidth="1"/>
    <col min="9" max="9" width="11.42578125" style="2"/>
    <col min="10" max="10" width="13.140625" style="2" bestFit="1" customWidth="1"/>
    <col min="11" max="11" width="15.85546875" style="2" bestFit="1" customWidth="1"/>
    <col min="12" max="16384" width="11.42578125" style="2"/>
  </cols>
  <sheetData>
    <row r="4" spans="2:11" ht="18.75">
      <c r="B4" s="46" t="s">
        <v>17</v>
      </c>
      <c r="C4" s="32"/>
      <c r="D4" s="32"/>
      <c r="E4" s="32"/>
      <c r="F4" s="32"/>
      <c r="G4" s="32"/>
    </row>
    <row r="5" spans="2:11" ht="15.75">
      <c r="B5" s="45" t="s">
        <v>4227</v>
      </c>
      <c r="C5" s="32"/>
      <c r="D5" s="32"/>
      <c r="E5" s="32"/>
      <c r="F5" s="32"/>
      <c r="G5" s="32"/>
    </row>
    <row r="6" spans="2:11">
      <c r="B6" s="2" t="s">
        <v>32</v>
      </c>
    </row>
    <row r="7" spans="2:11">
      <c r="B7" s="51" t="s">
        <v>4289</v>
      </c>
      <c r="C7" s="52" t="s">
        <v>34</v>
      </c>
      <c r="D7" s="52" t="s">
        <v>35</v>
      </c>
      <c r="E7" s="52" t="s">
        <v>36</v>
      </c>
      <c r="F7" s="51" t="s">
        <v>4229</v>
      </c>
      <c r="G7" s="51" t="s">
        <v>4230</v>
      </c>
      <c r="J7" s="51" t="s">
        <v>4229</v>
      </c>
      <c r="K7" s="51" t="s">
        <v>24</v>
      </c>
    </row>
    <row r="8" spans="2:11" ht="18" customHeight="1">
      <c r="B8" s="5">
        <v>1</v>
      </c>
      <c r="C8" s="6" t="s">
        <v>4342</v>
      </c>
      <c r="D8" s="25" t="s">
        <v>1872</v>
      </c>
      <c r="E8" s="25">
        <v>1</v>
      </c>
      <c r="F8" s="53">
        <f>ROUND(J8*'RESUMEN OFERTA'!$H$8,2)</f>
        <v>5643.35</v>
      </c>
      <c r="G8" s="53">
        <f>ROUND(F8*E8,2)</f>
        <v>5643.35</v>
      </c>
      <c r="J8" s="53">
        <v>11800</v>
      </c>
      <c r="K8" s="53">
        <f>ROUND(J8*E8,2)</f>
        <v>11800</v>
      </c>
    </row>
    <row r="9" spans="2:11" ht="18" customHeight="1">
      <c r="B9" s="5">
        <v>2</v>
      </c>
      <c r="C9" s="6" t="s">
        <v>4343</v>
      </c>
      <c r="D9" s="25" t="s">
        <v>287</v>
      </c>
      <c r="E9" s="25">
        <v>280</v>
      </c>
      <c r="F9" s="53">
        <f>ROUND(J9*'RESUMEN OFERTA'!$H$8,2)</f>
        <v>1241.54</v>
      </c>
      <c r="G9" s="53">
        <f t="shared" ref="G9:G15" si="0">ROUND(F9*E9,2)</f>
        <v>347631.2</v>
      </c>
      <c r="J9" s="53">
        <v>2596</v>
      </c>
      <c r="K9" s="53">
        <f t="shared" ref="K9:K15" si="1">ROUND(J9*E9,2)</f>
        <v>726880</v>
      </c>
    </row>
    <row r="10" spans="2:11" ht="30">
      <c r="B10" s="5">
        <v>3</v>
      </c>
      <c r="C10" s="27" t="s">
        <v>4344</v>
      </c>
      <c r="D10" s="25" t="s">
        <v>287</v>
      </c>
      <c r="E10" s="25">
        <v>5</v>
      </c>
      <c r="F10" s="53">
        <f>ROUND(J10*'RESUMEN OFERTA'!$H$8,2)</f>
        <v>9142.23</v>
      </c>
      <c r="G10" s="53">
        <f t="shared" si="0"/>
        <v>45711.15</v>
      </c>
      <c r="J10" s="53">
        <v>19116</v>
      </c>
      <c r="K10" s="53">
        <f t="shared" si="1"/>
        <v>95580</v>
      </c>
    </row>
    <row r="11" spans="2:11" ht="18" customHeight="1">
      <c r="B11" s="5">
        <v>4</v>
      </c>
      <c r="C11" s="6" t="s">
        <v>4345</v>
      </c>
      <c r="D11" s="25" t="s">
        <v>287</v>
      </c>
      <c r="E11" s="25">
        <v>1</v>
      </c>
      <c r="F11" s="53">
        <f>ROUND(J11*'RESUMEN OFERTA'!$H$8,2)</f>
        <v>22573.4</v>
      </c>
      <c r="G11" s="53">
        <f t="shared" si="0"/>
        <v>22573.4</v>
      </c>
      <c r="J11" s="53">
        <v>47200</v>
      </c>
      <c r="K11" s="53">
        <f t="shared" si="1"/>
        <v>47200</v>
      </c>
    </row>
    <row r="12" spans="2:11" ht="30">
      <c r="B12" s="5">
        <v>5</v>
      </c>
      <c r="C12" s="27" t="s">
        <v>4346</v>
      </c>
      <c r="D12" s="25" t="s">
        <v>4253</v>
      </c>
      <c r="E12" s="25">
        <v>18</v>
      </c>
      <c r="F12" s="53">
        <f>ROUND(J12*'RESUMEN OFERTA'!$H$8,2)</f>
        <v>3386.01</v>
      </c>
      <c r="G12" s="53">
        <f t="shared" si="0"/>
        <v>60948.18</v>
      </c>
      <c r="J12" s="53">
        <v>7080</v>
      </c>
      <c r="K12" s="53">
        <f t="shared" si="1"/>
        <v>127440</v>
      </c>
    </row>
    <row r="13" spans="2:11" ht="18" customHeight="1">
      <c r="B13" s="5">
        <v>6</v>
      </c>
      <c r="C13" s="6" t="s">
        <v>4347</v>
      </c>
      <c r="D13" s="25" t="s">
        <v>4253</v>
      </c>
      <c r="E13" s="25">
        <v>18</v>
      </c>
      <c r="F13" s="53">
        <f>ROUND(J13*'RESUMEN OFERTA'!$H$8,2)</f>
        <v>721.1</v>
      </c>
      <c r="G13" s="53">
        <f t="shared" si="0"/>
        <v>12979.8</v>
      </c>
      <c r="J13" s="53">
        <v>1507.78</v>
      </c>
      <c r="K13" s="53">
        <f t="shared" si="1"/>
        <v>27140.04</v>
      </c>
    </row>
    <row r="14" spans="2:11" ht="18" customHeight="1">
      <c r="B14" s="5">
        <v>7</v>
      </c>
      <c r="C14" s="6" t="s">
        <v>4348</v>
      </c>
      <c r="D14" s="25" t="s">
        <v>1872</v>
      </c>
      <c r="E14" s="25">
        <v>1</v>
      </c>
      <c r="F14" s="53">
        <f>ROUND(J14*'RESUMEN OFERTA'!$H$8,2)</f>
        <v>126411.04</v>
      </c>
      <c r="G14" s="53">
        <f t="shared" si="0"/>
        <v>126411.04</v>
      </c>
      <c r="J14" s="53">
        <v>264320</v>
      </c>
      <c r="K14" s="53">
        <f t="shared" si="1"/>
        <v>264320</v>
      </c>
    </row>
    <row r="15" spans="2:11" ht="18" customHeight="1">
      <c r="B15" s="54">
        <v>8</v>
      </c>
      <c r="C15" s="55" t="s">
        <v>4349</v>
      </c>
      <c r="D15" s="28" t="s">
        <v>1872</v>
      </c>
      <c r="E15" s="28">
        <v>1</v>
      </c>
      <c r="F15" s="53">
        <f>ROUND(J15*'RESUMEN OFERTA'!$H$8,2)</f>
        <v>28216.75</v>
      </c>
      <c r="G15" s="53">
        <f t="shared" si="0"/>
        <v>28216.75</v>
      </c>
      <c r="J15" s="53">
        <v>59000</v>
      </c>
      <c r="K15" s="53">
        <f t="shared" si="1"/>
        <v>59000</v>
      </c>
    </row>
    <row r="16" spans="2:11" ht="28.5" customHeight="1">
      <c r="B16" s="72" t="s">
        <v>4350</v>
      </c>
      <c r="C16" s="73"/>
      <c r="D16" s="73"/>
      <c r="E16" s="73"/>
      <c r="F16" s="71"/>
      <c r="G16" s="30">
        <f>SUM(G8:G15)</f>
        <v>650114.87</v>
      </c>
      <c r="J16" s="103"/>
      <c r="K16" s="30">
        <f>SUM(K8:K15)</f>
        <v>1359360.04</v>
      </c>
    </row>
    <row r="19" spans="2:7">
      <c r="B19" s="56"/>
      <c r="E19" s="3"/>
    </row>
    <row r="20" spans="2:7">
      <c r="B20" s="3"/>
      <c r="E20" s="3"/>
    </row>
    <row r="21" spans="2:7">
      <c r="B21" s="3"/>
      <c r="E21" s="3"/>
    </row>
    <row r="22" spans="2:7">
      <c r="B22" s="3"/>
      <c r="E22" s="3"/>
    </row>
    <row r="23" spans="2:7">
      <c r="B23" s="3"/>
      <c r="E23" s="3"/>
    </row>
    <row r="24" spans="2:7">
      <c r="B24" s="3"/>
      <c r="E24" s="3"/>
    </row>
    <row r="25" spans="2:7">
      <c r="B25" s="3"/>
      <c r="E25" s="3"/>
    </row>
    <row r="26" spans="2:7">
      <c r="B26" s="3"/>
      <c r="E26" s="13"/>
    </row>
    <row r="27" spans="2:7">
      <c r="C27" s="14" t="str">
        <f>'RESUMEN OFERTA'!C35</f>
        <v>PATRICIO RICAURTE</v>
      </c>
    </row>
    <row r="28" spans="2:7">
      <c r="C28" s="16" t="str">
        <f>'RESUMEN OFERTA'!C36</f>
        <v>Representante Legal</v>
      </c>
      <c r="D28" s="17"/>
      <c r="E28" s="3"/>
      <c r="F28" s="511">
        <f>'RESUMEN OFERTA'!D35</f>
        <v>45173</v>
      </c>
      <c r="G28" s="511"/>
    </row>
    <row r="29" spans="2:7">
      <c r="C29" s="16" t="str">
        <f>'RESUMEN OFERTA'!C37</f>
        <v>CONSORCIO RIO HUATANAY</v>
      </c>
      <c r="D29" s="15"/>
      <c r="E29" s="15"/>
    </row>
  </sheetData>
  <mergeCells count="1">
    <mergeCell ref="F28:G28"/>
  </mergeCells>
  <printOptions horizontalCentered="1"/>
  <pageMargins left="0.39370078740157483" right="0.39370078740157483" top="0.59055118110236227" bottom="0.39370078740157483" header="0" footer="0"/>
  <pageSetup paperSize="9" orientation="landscape" horizontalDpi="1200" verticalDpi="1200" r:id="rId1"/>
  <headerFooter>
    <oddFooter>&amp;R&amp;P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4:J25"/>
  <sheetViews>
    <sheetView showGridLines="0" zoomScaleNormal="100" zoomScaleSheetLayoutView="100" workbookViewId="0">
      <selection activeCell="B4" sqref="B4:G4"/>
    </sheetView>
  </sheetViews>
  <sheetFormatPr baseColWidth="10" defaultColWidth="11.42578125" defaultRowHeight="15" customHeight="1"/>
  <cols>
    <col min="1" max="1" width="2" style="2" customWidth="1"/>
    <col min="2" max="2" width="8.5703125" style="2" customWidth="1"/>
    <col min="3" max="3" width="57.42578125" style="2" customWidth="1"/>
    <col min="4" max="5" width="9.85546875" style="2" customWidth="1"/>
    <col min="6" max="7" width="17.140625" style="2" customWidth="1"/>
    <col min="8" max="8" width="1.42578125" style="2" customWidth="1"/>
    <col min="9" max="16384" width="11.42578125" style="2"/>
  </cols>
  <sheetData>
    <row r="4" spans="2:10" ht="15" customHeight="1">
      <c r="B4" s="506" t="s">
        <v>18</v>
      </c>
      <c r="C4" s="506"/>
      <c r="D4" s="506"/>
      <c r="E4" s="506"/>
      <c r="F4" s="506"/>
      <c r="G4" s="506"/>
    </row>
    <row r="5" spans="2:10" ht="15" customHeight="1">
      <c r="B5" s="45" t="s">
        <v>4227</v>
      </c>
      <c r="C5" s="32"/>
      <c r="D5" s="32"/>
      <c r="E5" s="32"/>
      <c r="F5" s="32"/>
      <c r="G5" s="32"/>
    </row>
    <row r="6" spans="2:10" ht="15" customHeight="1">
      <c r="B6" s="37" t="s">
        <v>32</v>
      </c>
    </row>
    <row r="7" spans="2:10" ht="21.75" customHeight="1">
      <c r="B7" s="1" t="s">
        <v>4289</v>
      </c>
      <c r="C7" s="70" t="s">
        <v>34</v>
      </c>
      <c r="D7" s="1" t="s">
        <v>35</v>
      </c>
      <c r="E7" s="1" t="s">
        <v>4113</v>
      </c>
      <c r="F7" s="1" t="s">
        <v>4229</v>
      </c>
      <c r="G7" s="1" t="s">
        <v>4230</v>
      </c>
      <c r="I7" s="52" t="s">
        <v>4229</v>
      </c>
      <c r="J7" s="52" t="s">
        <v>24</v>
      </c>
    </row>
    <row r="8" spans="2:10" ht="21" customHeight="1">
      <c r="B8" s="25">
        <v>1</v>
      </c>
      <c r="C8" s="27" t="s">
        <v>4351</v>
      </c>
      <c r="D8" s="25" t="s">
        <v>3964</v>
      </c>
      <c r="E8" s="25">
        <v>80</v>
      </c>
      <c r="F8" s="31">
        <f>I9*'RESUMEN OFERTA'!$H$7</f>
        <v>45.393856127999996</v>
      </c>
      <c r="G8" s="75">
        <f>ROUND(F8*E8,2)</f>
        <v>3631.51</v>
      </c>
      <c r="I8" s="49"/>
      <c r="J8" s="49"/>
    </row>
    <row r="9" spans="2:10" ht="21" customHeight="1">
      <c r="B9" s="25">
        <v>2</v>
      </c>
      <c r="C9" s="27" t="s">
        <v>4352</v>
      </c>
      <c r="D9" s="25" t="s">
        <v>3964</v>
      </c>
      <c r="E9" s="25">
        <v>12</v>
      </c>
      <c r="F9" s="31">
        <f>I10*'RESUMEN OFERTA'!$H$7</f>
        <v>264.79749407999998</v>
      </c>
      <c r="G9" s="75">
        <f>ROUND(F9*E9,2)</f>
        <v>3177.57</v>
      </c>
      <c r="I9" s="49">
        <v>70.8</v>
      </c>
      <c r="J9" s="57">
        <f>ROUND(I9*E8,2)</f>
        <v>5664</v>
      </c>
    </row>
    <row r="10" spans="2:10" ht="30">
      <c r="B10" s="25">
        <v>3</v>
      </c>
      <c r="C10" s="27" t="s">
        <v>4353</v>
      </c>
      <c r="D10" s="25" t="s">
        <v>3964</v>
      </c>
      <c r="E10" s="25">
        <v>10</v>
      </c>
      <c r="F10" s="31">
        <f>I11*'RESUMEN OFERTA'!$H$7</f>
        <v>378.28213439999996</v>
      </c>
      <c r="G10" s="75">
        <f>ROUND(F10*E10,2)</f>
        <v>3782.82</v>
      </c>
      <c r="I10" s="41">
        <v>413</v>
      </c>
      <c r="J10" s="57">
        <f>ROUND(I10*E9,2)</f>
        <v>4956</v>
      </c>
    </row>
    <row r="11" spans="2:10" ht="24.75" customHeight="1">
      <c r="B11" s="58" t="s">
        <v>4354</v>
      </c>
      <c r="C11" s="50"/>
      <c r="D11" s="50"/>
      <c r="E11" s="50"/>
      <c r="F11" s="74"/>
      <c r="G11" s="29">
        <f>SUM(G8:G10)</f>
        <v>10591.9</v>
      </c>
      <c r="I11" s="41">
        <v>590</v>
      </c>
      <c r="J11" s="57">
        <f>ROUND(I11*E10,2)</f>
        <v>5900</v>
      </c>
    </row>
    <row r="12" spans="2:10" ht="15" customHeight="1">
      <c r="I12" s="80"/>
      <c r="J12" s="57">
        <f>SUM(J8:J11)</f>
        <v>16520</v>
      </c>
    </row>
    <row r="14" spans="2:10" ht="15" customHeight="1">
      <c r="B14" s="3"/>
      <c r="E14" s="3"/>
      <c r="G14" s="3"/>
    </row>
    <row r="15" spans="2:10" ht="15" customHeight="1">
      <c r="B15" s="3"/>
      <c r="E15" s="3"/>
      <c r="G15" s="3"/>
    </row>
    <row r="16" spans="2:10" ht="15" customHeight="1">
      <c r="B16" s="3"/>
      <c r="E16" s="3"/>
      <c r="G16" s="3"/>
    </row>
    <row r="17" spans="2:7" ht="15" customHeight="1">
      <c r="B17" s="3"/>
      <c r="E17" s="3"/>
      <c r="G17" s="3"/>
    </row>
    <row r="18" spans="2:7" ht="15" customHeight="1">
      <c r="B18" s="3"/>
      <c r="E18" s="3"/>
      <c r="G18" s="3"/>
    </row>
    <row r="19" spans="2:7" ht="15" customHeight="1">
      <c r="B19" s="3"/>
      <c r="E19" s="3"/>
      <c r="G19" s="3"/>
    </row>
    <row r="20" spans="2:7" ht="15" customHeight="1">
      <c r="B20" s="3"/>
      <c r="E20" s="3"/>
      <c r="G20" s="3"/>
    </row>
    <row r="21" spans="2:7" ht="15" customHeight="1">
      <c r="B21" s="3"/>
      <c r="E21" s="13"/>
      <c r="G21" s="3"/>
    </row>
    <row r="22" spans="2:7" ht="15" customHeight="1">
      <c r="C22" s="14" t="str">
        <f>'RESUMEN OFERTA'!C35</f>
        <v>PATRICIO RICAURTE</v>
      </c>
      <c r="G22" s="3"/>
    </row>
    <row r="23" spans="2:7" ht="15" customHeight="1">
      <c r="C23" s="16" t="str">
        <f>'RESUMEN OFERTA'!C36</f>
        <v>Representante Legal</v>
      </c>
      <c r="D23" s="17"/>
      <c r="E23" s="3"/>
      <c r="F23" s="511">
        <f>'RESUMEN OFERTA'!D35</f>
        <v>45173</v>
      </c>
      <c r="G23" s="511"/>
    </row>
    <row r="24" spans="2:7" ht="15" customHeight="1">
      <c r="C24" s="16" t="str">
        <f>'RESUMEN OFERTA'!C37</f>
        <v>CONSORCIO RIO HUATANAY</v>
      </c>
      <c r="D24" s="15"/>
      <c r="E24" s="15"/>
      <c r="G24" s="3"/>
    </row>
    <row r="25" spans="2:7" ht="15" customHeight="1">
      <c r="B25" s="3"/>
      <c r="D25" s="3"/>
      <c r="E25" s="3"/>
      <c r="F25" s="66"/>
      <c r="G25" s="66"/>
    </row>
  </sheetData>
  <mergeCells count="2">
    <mergeCell ref="F23:G23"/>
    <mergeCell ref="B4:G4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&amp;R&amp;P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71"/>
  <sheetViews>
    <sheetView showGridLines="0" view="pageBreakPreview" topLeftCell="A19" zoomScale="50" zoomScaleNormal="60" zoomScaleSheetLayoutView="50" workbookViewId="0">
      <selection activeCell="AI14" sqref="AI14"/>
    </sheetView>
  </sheetViews>
  <sheetFormatPr baseColWidth="10" defaultColWidth="11.42578125" defaultRowHeight="12.75"/>
  <cols>
    <col min="1" max="1" width="2.140625" style="422" customWidth="1"/>
    <col min="2" max="8" width="9.85546875" style="422" customWidth="1"/>
    <col min="9" max="9" width="11.5703125" style="422" customWidth="1"/>
    <col min="10" max="12" width="9.85546875" style="422" customWidth="1"/>
    <col min="13" max="13" width="14.85546875" style="422" customWidth="1"/>
    <col min="14" max="14" width="10.42578125" style="422" customWidth="1"/>
    <col min="15" max="16" width="6.140625" style="422" customWidth="1"/>
    <col min="17" max="18" width="9.85546875" style="422" customWidth="1"/>
    <col min="19" max="19" width="10.42578125" style="422" customWidth="1"/>
    <col min="20" max="20" width="8.140625" style="422" customWidth="1"/>
    <col min="21" max="22" width="9.85546875" style="422" customWidth="1"/>
    <col min="23" max="23" width="11.85546875" style="422" customWidth="1"/>
    <col min="24" max="25" width="9.85546875" style="422" customWidth="1"/>
    <col min="26" max="26" width="4" style="422" customWidth="1"/>
    <col min="27" max="27" width="4.5703125" style="422" customWidth="1"/>
    <col min="28" max="30" width="9.85546875" style="422" customWidth="1"/>
    <col min="31" max="31" width="5.140625" style="422" customWidth="1"/>
    <col min="32" max="37" width="9.85546875" style="422" customWidth="1"/>
    <col min="38" max="256" width="11.42578125" style="422"/>
    <col min="257" max="257" width="2.140625" style="422" customWidth="1"/>
    <col min="258" max="264" width="9.85546875" style="422" customWidth="1"/>
    <col min="265" max="265" width="11.5703125" style="422" customWidth="1"/>
    <col min="266" max="268" width="9.85546875" style="422" customWidth="1"/>
    <col min="269" max="269" width="14.85546875" style="422" customWidth="1"/>
    <col min="270" max="270" width="10.42578125" style="422" customWidth="1"/>
    <col min="271" max="272" width="6.140625" style="422" customWidth="1"/>
    <col min="273" max="274" width="9.85546875" style="422" customWidth="1"/>
    <col min="275" max="275" width="10.42578125" style="422" customWidth="1"/>
    <col min="276" max="276" width="8.140625" style="422" customWidth="1"/>
    <col min="277" max="278" width="9.85546875" style="422" customWidth="1"/>
    <col min="279" max="279" width="11.85546875" style="422" customWidth="1"/>
    <col min="280" max="281" width="9.85546875" style="422" customWidth="1"/>
    <col min="282" max="282" width="4" style="422" customWidth="1"/>
    <col min="283" max="283" width="4.5703125" style="422" customWidth="1"/>
    <col min="284" max="286" width="9.85546875" style="422" customWidth="1"/>
    <col min="287" max="287" width="5.140625" style="422" customWidth="1"/>
    <col min="288" max="293" width="9.85546875" style="422" customWidth="1"/>
    <col min="294" max="512" width="11.42578125" style="422"/>
    <col min="513" max="513" width="2.140625" style="422" customWidth="1"/>
    <col min="514" max="520" width="9.85546875" style="422" customWidth="1"/>
    <col min="521" max="521" width="11.5703125" style="422" customWidth="1"/>
    <col min="522" max="524" width="9.85546875" style="422" customWidth="1"/>
    <col min="525" max="525" width="14.85546875" style="422" customWidth="1"/>
    <col min="526" max="526" width="10.42578125" style="422" customWidth="1"/>
    <col min="527" max="528" width="6.140625" style="422" customWidth="1"/>
    <col min="529" max="530" width="9.85546875" style="422" customWidth="1"/>
    <col min="531" max="531" width="10.42578125" style="422" customWidth="1"/>
    <col min="532" max="532" width="8.140625" style="422" customWidth="1"/>
    <col min="533" max="534" width="9.85546875" style="422" customWidth="1"/>
    <col min="535" max="535" width="11.85546875" style="422" customWidth="1"/>
    <col min="536" max="537" width="9.85546875" style="422" customWidth="1"/>
    <col min="538" max="538" width="4" style="422" customWidth="1"/>
    <col min="539" max="539" width="4.5703125" style="422" customWidth="1"/>
    <col min="540" max="542" width="9.85546875" style="422" customWidth="1"/>
    <col min="543" max="543" width="5.140625" style="422" customWidth="1"/>
    <col min="544" max="549" width="9.85546875" style="422" customWidth="1"/>
    <col min="550" max="768" width="11.42578125" style="422"/>
    <col min="769" max="769" width="2.140625" style="422" customWidth="1"/>
    <col min="770" max="776" width="9.85546875" style="422" customWidth="1"/>
    <col min="777" max="777" width="11.5703125" style="422" customWidth="1"/>
    <col min="778" max="780" width="9.85546875" style="422" customWidth="1"/>
    <col min="781" max="781" width="14.85546875" style="422" customWidth="1"/>
    <col min="782" max="782" width="10.42578125" style="422" customWidth="1"/>
    <col min="783" max="784" width="6.140625" style="422" customWidth="1"/>
    <col min="785" max="786" width="9.85546875" style="422" customWidth="1"/>
    <col min="787" max="787" width="10.42578125" style="422" customWidth="1"/>
    <col min="788" max="788" width="8.140625" style="422" customWidth="1"/>
    <col min="789" max="790" width="9.85546875" style="422" customWidth="1"/>
    <col min="791" max="791" width="11.85546875" style="422" customWidth="1"/>
    <col min="792" max="793" width="9.85546875" style="422" customWidth="1"/>
    <col min="794" max="794" width="4" style="422" customWidth="1"/>
    <col min="795" max="795" width="4.5703125" style="422" customWidth="1"/>
    <col min="796" max="798" width="9.85546875" style="422" customWidth="1"/>
    <col min="799" max="799" width="5.140625" style="422" customWidth="1"/>
    <col min="800" max="805" width="9.85546875" style="422" customWidth="1"/>
    <col min="806" max="1024" width="11.42578125" style="422"/>
    <col min="1025" max="1025" width="2.140625" style="422" customWidth="1"/>
    <col min="1026" max="1032" width="9.85546875" style="422" customWidth="1"/>
    <col min="1033" max="1033" width="11.5703125" style="422" customWidth="1"/>
    <col min="1034" max="1036" width="9.85546875" style="422" customWidth="1"/>
    <col min="1037" max="1037" width="14.85546875" style="422" customWidth="1"/>
    <col min="1038" max="1038" width="10.42578125" style="422" customWidth="1"/>
    <col min="1039" max="1040" width="6.140625" style="422" customWidth="1"/>
    <col min="1041" max="1042" width="9.85546875" style="422" customWidth="1"/>
    <col min="1043" max="1043" width="10.42578125" style="422" customWidth="1"/>
    <col min="1044" max="1044" width="8.140625" style="422" customWidth="1"/>
    <col min="1045" max="1046" width="9.85546875" style="422" customWidth="1"/>
    <col min="1047" max="1047" width="11.85546875" style="422" customWidth="1"/>
    <col min="1048" max="1049" width="9.85546875" style="422" customWidth="1"/>
    <col min="1050" max="1050" width="4" style="422" customWidth="1"/>
    <col min="1051" max="1051" width="4.5703125" style="422" customWidth="1"/>
    <col min="1052" max="1054" width="9.85546875" style="422" customWidth="1"/>
    <col min="1055" max="1055" width="5.140625" style="422" customWidth="1"/>
    <col min="1056" max="1061" width="9.85546875" style="422" customWidth="1"/>
    <col min="1062" max="1280" width="11.42578125" style="422"/>
    <col min="1281" max="1281" width="2.140625" style="422" customWidth="1"/>
    <col min="1282" max="1288" width="9.85546875" style="422" customWidth="1"/>
    <col min="1289" max="1289" width="11.5703125" style="422" customWidth="1"/>
    <col min="1290" max="1292" width="9.85546875" style="422" customWidth="1"/>
    <col min="1293" max="1293" width="14.85546875" style="422" customWidth="1"/>
    <col min="1294" max="1294" width="10.42578125" style="422" customWidth="1"/>
    <col min="1295" max="1296" width="6.140625" style="422" customWidth="1"/>
    <col min="1297" max="1298" width="9.85546875" style="422" customWidth="1"/>
    <col min="1299" max="1299" width="10.42578125" style="422" customWidth="1"/>
    <col min="1300" max="1300" width="8.140625" style="422" customWidth="1"/>
    <col min="1301" max="1302" width="9.85546875" style="422" customWidth="1"/>
    <col min="1303" max="1303" width="11.85546875" style="422" customWidth="1"/>
    <col min="1304" max="1305" width="9.85546875" style="422" customWidth="1"/>
    <col min="1306" max="1306" width="4" style="422" customWidth="1"/>
    <col min="1307" max="1307" width="4.5703125" style="422" customWidth="1"/>
    <col min="1308" max="1310" width="9.85546875" style="422" customWidth="1"/>
    <col min="1311" max="1311" width="5.140625" style="422" customWidth="1"/>
    <col min="1312" max="1317" width="9.85546875" style="422" customWidth="1"/>
    <col min="1318" max="1536" width="11.42578125" style="422"/>
    <col min="1537" max="1537" width="2.140625" style="422" customWidth="1"/>
    <col min="1538" max="1544" width="9.85546875" style="422" customWidth="1"/>
    <col min="1545" max="1545" width="11.5703125" style="422" customWidth="1"/>
    <col min="1546" max="1548" width="9.85546875" style="422" customWidth="1"/>
    <col min="1549" max="1549" width="14.85546875" style="422" customWidth="1"/>
    <col min="1550" max="1550" width="10.42578125" style="422" customWidth="1"/>
    <col min="1551" max="1552" width="6.140625" style="422" customWidth="1"/>
    <col min="1553" max="1554" width="9.85546875" style="422" customWidth="1"/>
    <col min="1555" max="1555" width="10.42578125" style="422" customWidth="1"/>
    <col min="1556" max="1556" width="8.140625" style="422" customWidth="1"/>
    <col min="1557" max="1558" width="9.85546875" style="422" customWidth="1"/>
    <col min="1559" max="1559" width="11.85546875" style="422" customWidth="1"/>
    <col min="1560" max="1561" width="9.85546875" style="422" customWidth="1"/>
    <col min="1562" max="1562" width="4" style="422" customWidth="1"/>
    <col min="1563" max="1563" width="4.5703125" style="422" customWidth="1"/>
    <col min="1564" max="1566" width="9.85546875" style="422" customWidth="1"/>
    <col min="1567" max="1567" width="5.140625" style="422" customWidth="1"/>
    <col min="1568" max="1573" width="9.85546875" style="422" customWidth="1"/>
    <col min="1574" max="1792" width="11.42578125" style="422"/>
    <col min="1793" max="1793" width="2.140625" style="422" customWidth="1"/>
    <col min="1794" max="1800" width="9.85546875" style="422" customWidth="1"/>
    <col min="1801" max="1801" width="11.5703125" style="422" customWidth="1"/>
    <col min="1802" max="1804" width="9.85546875" style="422" customWidth="1"/>
    <col min="1805" max="1805" width="14.85546875" style="422" customWidth="1"/>
    <col min="1806" max="1806" width="10.42578125" style="422" customWidth="1"/>
    <col min="1807" max="1808" width="6.140625" style="422" customWidth="1"/>
    <col min="1809" max="1810" width="9.85546875" style="422" customWidth="1"/>
    <col min="1811" max="1811" width="10.42578125" style="422" customWidth="1"/>
    <col min="1812" max="1812" width="8.140625" style="422" customWidth="1"/>
    <col min="1813" max="1814" width="9.85546875" style="422" customWidth="1"/>
    <col min="1815" max="1815" width="11.85546875" style="422" customWidth="1"/>
    <col min="1816" max="1817" width="9.85546875" style="422" customWidth="1"/>
    <col min="1818" max="1818" width="4" style="422" customWidth="1"/>
    <col min="1819" max="1819" width="4.5703125" style="422" customWidth="1"/>
    <col min="1820" max="1822" width="9.85546875" style="422" customWidth="1"/>
    <col min="1823" max="1823" width="5.140625" style="422" customWidth="1"/>
    <col min="1824" max="1829" width="9.85546875" style="422" customWidth="1"/>
    <col min="1830" max="2048" width="11.42578125" style="422"/>
    <col min="2049" max="2049" width="2.140625" style="422" customWidth="1"/>
    <col min="2050" max="2056" width="9.85546875" style="422" customWidth="1"/>
    <col min="2057" max="2057" width="11.5703125" style="422" customWidth="1"/>
    <col min="2058" max="2060" width="9.85546875" style="422" customWidth="1"/>
    <col min="2061" max="2061" width="14.85546875" style="422" customWidth="1"/>
    <col min="2062" max="2062" width="10.42578125" style="422" customWidth="1"/>
    <col min="2063" max="2064" width="6.140625" style="422" customWidth="1"/>
    <col min="2065" max="2066" width="9.85546875" style="422" customWidth="1"/>
    <col min="2067" max="2067" width="10.42578125" style="422" customWidth="1"/>
    <col min="2068" max="2068" width="8.140625" style="422" customWidth="1"/>
    <col min="2069" max="2070" width="9.85546875" style="422" customWidth="1"/>
    <col min="2071" max="2071" width="11.85546875" style="422" customWidth="1"/>
    <col min="2072" max="2073" width="9.85546875" style="422" customWidth="1"/>
    <col min="2074" max="2074" width="4" style="422" customWidth="1"/>
    <col min="2075" max="2075" width="4.5703125" style="422" customWidth="1"/>
    <col min="2076" max="2078" width="9.85546875" style="422" customWidth="1"/>
    <col min="2079" max="2079" width="5.140625" style="422" customWidth="1"/>
    <col min="2080" max="2085" width="9.85546875" style="422" customWidth="1"/>
    <col min="2086" max="2304" width="11.42578125" style="422"/>
    <col min="2305" max="2305" width="2.140625" style="422" customWidth="1"/>
    <col min="2306" max="2312" width="9.85546875" style="422" customWidth="1"/>
    <col min="2313" max="2313" width="11.5703125" style="422" customWidth="1"/>
    <col min="2314" max="2316" width="9.85546875" style="422" customWidth="1"/>
    <col min="2317" max="2317" width="14.85546875" style="422" customWidth="1"/>
    <col min="2318" max="2318" width="10.42578125" style="422" customWidth="1"/>
    <col min="2319" max="2320" width="6.140625" style="422" customWidth="1"/>
    <col min="2321" max="2322" width="9.85546875" style="422" customWidth="1"/>
    <col min="2323" max="2323" width="10.42578125" style="422" customWidth="1"/>
    <col min="2324" max="2324" width="8.140625" style="422" customWidth="1"/>
    <col min="2325" max="2326" width="9.85546875" style="422" customWidth="1"/>
    <col min="2327" max="2327" width="11.85546875" style="422" customWidth="1"/>
    <col min="2328" max="2329" width="9.85546875" style="422" customWidth="1"/>
    <col min="2330" max="2330" width="4" style="422" customWidth="1"/>
    <col min="2331" max="2331" width="4.5703125" style="422" customWidth="1"/>
    <col min="2332" max="2334" width="9.85546875" style="422" customWidth="1"/>
    <col min="2335" max="2335" width="5.140625" style="422" customWidth="1"/>
    <col min="2336" max="2341" width="9.85546875" style="422" customWidth="1"/>
    <col min="2342" max="2560" width="11.42578125" style="422"/>
    <col min="2561" max="2561" width="2.140625" style="422" customWidth="1"/>
    <col min="2562" max="2568" width="9.85546875" style="422" customWidth="1"/>
    <col min="2569" max="2569" width="11.5703125" style="422" customWidth="1"/>
    <col min="2570" max="2572" width="9.85546875" style="422" customWidth="1"/>
    <col min="2573" max="2573" width="14.85546875" style="422" customWidth="1"/>
    <col min="2574" max="2574" width="10.42578125" style="422" customWidth="1"/>
    <col min="2575" max="2576" width="6.140625" style="422" customWidth="1"/>
    <col min="2577" max="2578" width="9.85546875" style="422" customWidth="1"/>
    <col min="2579" max="2579" width="10.42578125" style="422" customWidth="1"/>
    <col min="2580" max="2580" width="8.140625" style="422" customWidth="1"/>
    <col min="2581" max="2582" width="9.85546875" style="422" customWidth="1"/>
    <col min="2583" max="2583" width="11.85546875" style="422" customWidth="1"/>
    <col min="2584" max="2585" width="9.85546875" style="422" customWidth="1"/>
    <col min="2586" max="2586" width="4" style="422" customWidth="1"/>
    <col min="2587" max="2587" width="4.5703125" style="422" customWidth="1"/>
    <col min="2588" max="2590" width="9.85546875" style="422" customWidth="1"/>
    <col min="2591" max="2591" width="5.140625" style="422" customWidth="1"/>
    <col min="2592" max="2597" width="9.85546875" style="422" customWidth="1"/>
    <col min="2598" max="2816" width="11.42578125" style="422"/>
    <col min="2817" max="2817" width="2.140625" style="422" customWidth="1"/>
    <col min="2818" max="2824" width="9.85546875" style="422" customWidth="1"/>
    <col min="2825" max="2825" width="11.5703125" style="422" customWidth="1"/>
    <col min="2826" max="2828" width="9.85546875" style="422" customWidth="1"/>
    <col min="2829" max="2829" width="14.85546875" style="422" customWidth="1"/>
    <col min="2830" max="2830" width="10.42578125" style="422" customWidth="1"/>
    <col min="2831" max="2832" width="6.140625" style="422" customWidth="1"/>
    <col min="2833" max="2834" width="9.85546875" style="422" customWidth="1"/>
    <col min="2835" max="2835" width="10.42578125" style="422" customWidth="1"/>
    <col min="2836" max="2836" width="8.140625" style="422" customWidth="1"/>
    <col min="2837" max="2838" width="9.85546875" style="422" customWidth="1"/>
    <col min="2839" max="2839" width="11.85546875" style="422" customWidth="1"/>
    <col min="2840" max="2841" width="9.85546875" style="422" customWidth="1"/>
    <col min="2842" max="2842" width="4" style="422" customWidth="1"/>
    <col min="2843" max="2843" width="4.5703125" style="422" customWidth="1"/>
    <col min="2844" max="2846" width="9.85546875" style="422" customWidth="1"/>
    <col min="2847" max="2847" width="5.140625" style="422" customWidth="1"/>
    <col min="2848" max="2853" width="9.85546875" style="422" customWidth="1"/>
    <col min="2854" max="3072" width="11.42578125" style="422"/>
    <col min="3073" max="3073" width="2.140625" style="422" customWidth="1"/>
    <col min="3074" max="3080" width="9.85546875" style="422" customWidth="1"/>
    <col min="3081" max="3081" width="11.5703125" style="422" customWidth="1"/>
    <col min="3082" max="3084" width="9.85546875" style="422" customWidth="1"/>
    <col min="3085" max="3085" width="14.85546875" style="422" customWidth="1"/>
    <col min="3086" max="3086" width="10.42578125" style="422" customWidth="1"/>
    <col min="3087" max="3088" width="6.140625" style="422" customWidth="1"/>
    <col min="3089" max="3090" width="9.85546875" style="422" customWidth="1"/>
    <col min="3091" max="3091" width="10.42578125" style="422" customWidth="1"/>
    <col min="3092" max="3092" width="8.140625" style="422" customWidth="1"/>
    <col min="3093" max="3094" width="9.85546875" style="422" customWidth="1"/>
    <col min="3095" max="3095" width="11.85546875" style="422" customWidth="1"/>
    <col min="3096" max="3097" width="9.85546875" style="422" customWidth="1"/>
    <col min="3098" max="3098" width="4" style="422" customWidth="1"/>
    <col min="3099" max="3099" width="4.5703125" style="422" customWidth="1"/>
    <col min="3100" max="3102" width="9.85546875" style="422" customWidth="1"/>
    <col min="3103" max="3103" width="5.140625" style="422" customWidth="1"/>
    <col min="3104" max="3109" width="9.85546875" style="422" customWidth="1"/>
    <col min="3110" max="3328" width="11.42578125" style="422"/>
    <col min="3329" max="3329" width="2.140625" style="422" customWidth="1"/>
    <col min="3330" max="3336" width="9.85546875" style="422" customWidth="1"/>
    <col min="3337" max="3337" width="11.5703125" style="422" customWidth="1"/>
    <col min="3338" max="3340" width="9.85546875" style="422" customWidth="1"/>
    <col min="3341" max="3341" width="14.85546875" style="422" customWidth="1"/>
    <col min="3342" max="3342" width="10.42578125" style="422" customWidth="1"/>
    <col min="3343" max="3344" width="6.140625" style="422" customWidth="1"/>
    <col min="3345" max="3346" width="9.85546875" style="422" customWidth="1"/>
    <col min="3347" max="3347" width="10.42578125" style="422" customWidth="1"/>
    <col min="3348" max="3348" width="8.140625" style="422" customWidth="1"/>
    <col min="3349" max="3350" width="9.85546875" style="422" customWidth="1"/>
    <col min="3351" max="3351" width="11.85546875" style="422" customWidth="1"/>
    <col min="3352" max="3353" width="9.85546875" style="422" customWidth="1"/>
    <col min="3354" max="3354" width="4" style="422" customWidth="1"/>
    <col min="3355" max="3355" width="4.5703125" style="422" customWidth="1"/>
    <col min="3356" max="3358" width="9.85546875" style="422" customWidth="1"/>
    <col min="3359" max="3359" width="5.140625" style="422" customWidth="1"/>
    <col min="3360" max="3365" width="9.85546875" style="422" customWidth="1"/>
    <col min="3366" max="3584" width="11.42578125" style="422"/>
    <col min="3585" max="3585" width="2.140625" style="422" customWidth="1"/>
    <col min="3586" max="3592" width="9.85546875" style="422" customWidth="1"/>
    <col min="3593" max="3593" width="11.5703125" style="422" customWidth="1"/>
    <col min="3594" max="3596" width="9.85546875" style="422" customWidth="1"/>
    <col min="3597" max="3597" width="14.85546875" style="422" customWidth="1"/>
    <col min="3598" max="3598" width="10.42578125" style="422" customWidth="1"/>
    <col min="3599" max="3600" width="6.140625" style="422" customWidth="1"/>
    <col min="3601" max="3602" width="9.85546875" style="422" customWidth="1"/>
    <col min="3603" max="3603" width="10.42578125" style="422" customWidth="1"/>
    <col min="3604" max="3604" width="8.140625" style="422" customWidth="1"/>
    <col min="3605" max="3606" width="9.85546875" style="422" customWidth="1"/>
    <col min="3607" max="3607" width="11.85546875" style="422" customWidth="1"/>
    <col min="3608" max="3609" width="9.85546875" style="422" customWidth="1"/>
    <col min="3610" max="3610" width="4" style="422" customWidth="1"/>
    <col min="3611" max="3611" width="4.5703125" style="422" customWidth="1"/>
    <col min="3612" max="3614" width="9.85546875" style="422" customWidth="1"/>
    <col min="3615" max="3615" width="5.140625" style="422" customWidth="1"/>
    <col min="3616" max="3621" width="9.85546875" style="422" customWidth="1"/>
    <col min="3622" max="3840" width="11.42578125" style="422"/>
    <col min="3841" max="3841" width="2.140625" style="422" customWidth="1"/>
    <col min="3842" max="3848" width="9.85546875" style="422" customWidth="1"/>
    <col min="3849" max="3849" width="11.5703125" style="422" customWidth="1"/>
    <col min="3850" max="3852" width="9.85546875" style="422" customWidth="1"/>
    <col min="3853" max="3853" width="14.85546875" style="422" customWidth="1"/>
    <col min="3854" max="3854" width="10.42578125" style="422" customWidth="1"/>
    <col min="3855" max="3856" width="6.140625" style="422" customWidth="1"/>
    <col min="3857" max="3858" width="9.85546875" style="422" customWidth="1"/>
    <col min="3859" max="3859" width="10.42578125" style="422" customWidth="1"/>
    <col min="3860" max="3860" width="8.140625" style="422" customWidth="1"/>
    <col min="3861" max="3862" width="9.85546875" style="422" customWidth="1"/>
    <col min="3863" max="3863" width="11.85546875" style="422" customWidth="1"/>
    <col min="3864" max="3865" width="9.85546875" style="422" customWidth="1"/>
    <col min="3866" max="3866" width="4" style="422" customWidth="1"/>
    <col min="3867" max="3867" width="4.5703125" style="422" customWidth="1"/>
    <col min="3868" max="3870" width="9.85546875" style="422" customWidth="1"/>
    <col min="3871" max="3871" width="5.140625" style="422" customWidth="1"/>
    <col min="3872" max="3877" width="9.85546875" style="422" customWidth="1"/>
    <col min="3878" max="4096" width="11.42578125" style="422"/>
    <col min="4097" max="4097" width="2.140625" style="422" customWidth="1"/>
    <col min="4098" max="4104" width="9.85546875" style="422" customWidth="1"/>
    <col min="4105" max="4105" width="11.5703125" style="422" customWidth="1"/>
    <col min="4106" max="4108" width="9.85546875" style="422" customWidth="1"/>
    <col min="4109" max="4109" width="14.85546875" style="422" customWidth="1"/>
    <col min="4110" max="4110" width="10.42578125" style="422" customWidth="1"/>
    <col min="4111" max="4112" width="6.140625" style="422" customWidth="1"/>
    <col min="4113" max="4114" width="9.85546875" style="422" customWidth="1"/>
    <col min="4115" max="4115" width="10.42578125" style="422" customWidth="1"/>
    <col min="4116" max="4116" width="8.140625" style="422" customWidth="1"/>
    <col min="4117" max="4118" width="9.85546875" style="422" customWidth="1"/>
    <col min="4119" max="4119" width="11.85546875" style="422" customWidth="1"/>
    <col min="4120" max="4121" width="9.85546875" style="422" customWidth="1"/>
    <col min="4122" max="4122" width="4" style="422" customWidth="1"/>
    <col min="4123" max="4123" width="4.5703125" style="422" customWidth="1"/>
    <col min="4124" max="4126" width="9.85546875" style="422" customWidth="1"/>
    <col min="4127" max="4127" width="5.140625" style="422" customWidth="1"/>
    <col min="4128" max="4133" width="9.85546875" style="422" customWidth="1"/>
    <col min="4134" max="4352" width="11.42578125" style="422"/>
    <col min="4353" max="4353" width="2.140625" style="422" customWidth="1"/>
    <col min="4354" max="4360" width="9.85546875" style="422" customWidth="1"/>
    <col min="4361" max="4361" width="11.5703125" style="422" customWidth="1"/>
    <col min="4362" max="4364" width="9.85546875" style="422" customWidth="1"/>
    <col min="4365" max="4365" width="14.85546875" style="422" customWidth="1"/>
    <col min="4366" max="4366" width="10.42578125" style="422" customWidth="1"/>
    <col min="4367" max="4368" width="6.140625" style="422" customWidth="1"/>
    <col min="4369" max="4370" width="9.85546875" style="422" customWidth="1"/>
    <col min="4371" max="4371" width="10.42578125" style="422" customWidth="1"/>
    <col min="4372" max="4372" width="8.140625" style="422" customWidth="1"/>
    <col min="4373" max="4374" width="9.85546875" style="422" customWidth="1"/>
    <col min="4375" max="4375" width="11.85546875" style="422" customWidth="1"/>
    <col min="4376" max="4377" width="9.85546875" style="422" customWidth="1"/>
    <col min="4378" max="4378" width="4" style="422" customWidth="1"/>
    <col min="4379" max="4379" width="4.5703125" style="422" customWidth="1"/>
    <col min="4380" max="4382" width="9.85546875" style="422" customWidth="1"/>
    <col min="4383" max="4383" width="5.140625" style="422" customWidth="1"/>
    <col min="4384" max="4389" width="9.85546875" style="422" customWidth="1"/>
    <col min="4390" max="4608" width="11.42578125" style="422"/>
    <col min="4609" max="4609" width="2.140625" style="422" customWidth="1"/>
    <col min="4610" max="4616" width="9.85546875" style="422" customWidth="1"/>
    <col min="4617" max="4617" width="11.5703125" style="422" customWidth="1"/>
    <col min="4618" max="4620" width="9.85546875" style="422" customWidth="1"/>
    <col min="4621" max="4621" width="14.85546875" style="422" customWidth="1"/>
    <col min="4622" max="4622" width="10.42578125" style="422" customWidth="1"/>
    <col min="4623" max="4624" width="6.140625" style="422" customWidth="1"/>
    <col min="4625" max="4626" width="9.85546875" style="422" customWidth="1"/>
    <col min="4627" max="4627" width="10.42578125" style="422" customWidth="1"/>
    <col min="4628" max="4628" width="8.140625" style="422" customWidth="1"/>
    <col min="4629" max="4630" width="9.85546875" style="422" customWidth="1"/>
    <col min="4631" max="4631" width="11.85546875" style="422" customWidth="1"/>
    <col min="4632" max="4633" width="9.85546875" style="422" customWidth="1"/>
    <col min="4634" max="4634" width="4" style="422" customWidth="1"/>
    <col min="4635" max="4635" width="4.5703125" style="422" customWidth="1"/>
    <col min="4636" max="4638" width="9.85546875" style="422" customWidth="1"/>
    <col min="4639" max="4639" width="5.140625" style="422" customWidth="1"/>
    <col min="4640" max="4645" width="9.85546875" style="422" customWidth="1"/>
    <col min="4646" max="4864" width="11.42578125" style="422"/>
    <col min="4865" max="4865" width="2.140625" style="422" customWidth="1"/>
    <col min="4866" max="4872" width="9.85546875" style="422" customWidth="1"/>
    <col min="4873" max="4873" width="11.5703125" style="422" customWidth="1"/>
    <col min="4874" max="4876" width="9.85546875" style="422" customWidth="1"/>
    <col min="4877" max="4877" width="14.85546875" style="422" customWidth="1"/>
    <col min="4878" max="4878" width="10.42578125" style="422" customWidth="1"/>
    <col min="4879" max="4880" width="6.140625" style="422" customWidth="1"/>
    <col min="4881" max="4882" width="9.85546875" style="422" customWidth="1"/>
    <col min="4883" max="4883" width="10.42578125" style="422" customWidth="1"/>
    <col min="4884" max="4884" width="8.140625" style="422" customWidth="1"/>
    <col min="4885" max="4886" width="9.85546875" style="422" customWidth="1"/>
    <col min="4887" max="4887" width="11.85546875" style="422" customWidth="1"/>
    <col min="4888" max="4889" width="9.85546875" style="422" customWidth="1"/>
    <col min="4890" max="4890" width="4" style="422" customWidth="1"/>
    <col min="4891" max="4891" width="4.5703125" style="422" customWidth="1"/>
    <col min="4892" max="4894" width="9.85546875" style="422" customWidth="1"/>
    <col min="4895" max="4895" width="5.140625" style="422" customWidth="1"/>
    <col min="4896" max="4901" width="9.85546875" style="422" customWidth="1"/>
    <col min="4902" max="5120" width="11.42578125" style="422"/>
    <col min="5121" max="5121" width="2.140625" style="422" customWidth="1"/>
    <col min="5122" max="5128" width="9.85546875" style="422" customWidth="1"/>
    <col min="5129" max="5129" width="11.5703125" style="422" customWidth="1"/>
    <col min="5130" max="5132" width="9.85546875" style="422" customWidth="1"/>
    <col min="5133" max="5133" width="14.85546875" style="422" customWidth="1"/>
    <col min="5134" max="5134" width="10.42578125" style="422" customWidth="1"/>
    <col min="5135" max="5136" width="6.140625" style="422" customWidth="1"/>
    <col min="5137" max="5138" width="9.85546875" style="422" customWidth="1"/>
    <col min="5139" max="5139" width="10.42578125" style="422" customWidth="1"/>
    <col min="5140" max="5140" width="8.140625" style="422" customWidth="1"/>
    <col min="5141" max="5142" width="9.85546875" style="422" customWidth="1"/>
    <col min="5143" max="5143" width="11.85546875" style="422" customWidth="1"/>
    <col min="5144" max="5145" width="9.85546875" style="422" customWidth="1"/>
    <col min="5146" max="5146" width="4" style="422" customWidth="1"/>
    <col min="5147" max="5147" width="4.5703125" style="422" customWidth="1"/>
    <col min="5148" max="5150" width="9.85546875" style="422" customWidth="1"/>
    <col min="5151" max="5151" width="5.140625" style="422" customWidth="1"/>
    <col min="5152" max="5157" width="9.85546875" style="422" customWidth="1"/>
    <col min="5158" max="5376" width="11.42578125" style="422"/>
    <col min="5377" max="5377" width="2.140625" style="422" customWidth="1"/>
    <col min="5378" max="5384" width="9.85546875" style="422" customWidth="1"/>
    <col min="5385" max="5385" width="11.5703125" style="422" customWidth="1"/>
    <col min="5386" max="5388" width="9.85546875" style="422" customWidth="1"/>
    <col min="5389" max="5389" width="14.85546875" style="422" customWidth="1"/>
    <col min="5390" max="5390" width="10.42578125" style="422" customWidth="1"/>
    <col min="5391" max="5392" width="6.140625" style="422" customWidth="1"/>
    <col min="5393" max="5394" width="9.85546875" style="422" customWidth="1"/>
    <col min="5395" max="5395" width="10.42578125" style="422" customWidth="1"/>
    <col min="5396" max="5396" width="8.140625" style="422" customWidth="1"/>
    <col min="5397" max="5398" width="9.85546875" style="422" customWidth="1"/>
    <col min="5399" max="5399" width="11.85546875" style="422" customWidth="1"/>
    <col min="5400" max="5401" width="9.85546875" style="422" customWidth="1"/>
    <col min="5402" max="5402" width="4" style="422" customWidth="1"/>
    <col min="5403" max="5403" width="4.5703125" style="422" customWidth="1"/>
    <col min="5404" max="5406" width="9.85546875" style="422" customWidth="1"/>
    <col min="5407" max="5407" width="5.140625" style="422" customWidth="1"/>
    <col min="5408" max="5413" width="9.85546875" style="422" customWidth="1"/>
    <col min="5414" max="5632" width="11.42578125" style="422"/>
    <col min="5633" max="5633" width="2.140625" style="422" customWidth="1"/>
    <col min="5634" max="5640" width="9.85546875" style="422" customWidth="1"/>
    <col min="5641" max="5641" width="11.5703125" style="422" customWidth="1"/>
    <col min="5642" max="5644" width="9.85546875" style="422" customWidth="1"/>
    <col min="5645" max="5645" width="14.85546875" style="422" customWidth="1"/>
    <col min="5646" max="5646" width="10.42578125" style="422" customWidth="1"/>
    <col min="5647" max="5648" width="6.140625" style="422" customWidth="1"/>
    <col min="5649" max="5650" width="9.85546875" style="422" customWidth="1"/>
    <col min="5651" max="5651" width="10.42578125" style="422" customWidth="1"/>
    <col min="5652" max="5652" width="8.140625" style="422" customWidth="1"/>
    <col min="5653" max="5654" width="9.85546875" style="422" customWidth="1"/>
    <col min="5655" max="5655" width="11.85546875" style="422" customWidth="1"/>
    <col min="5656" max="5657" width="9.85546875" style="422" customWidth="1"/>
    <col min="5658" max="5658" width="4" style="422" customWidth="1"/>
    <col min="5659" max="5659" width="4.5703125" style="422" customWidth="1"/>
    <col min="5660" max="5662" width="9.85546875" style="422" customWidth="1"/>
    <col min="5663" max="5663" width="5.140625" style="422" customWidth="1"/>
    <col min="5664" max="5669" width="9.85546875" style="422" customWidth="1"/>
    <col min="5670" max="5888" width="11.42578125" style="422"/>
    <col min="5889" max="5889" width="2.140625" style="422" customWidth="1"/>
    <col min="5890" max="5896" width="9.85546875" style="422" customWidth="1"/>
    <col min="5897" max="5897" width="11.5703125" style="422" customWidth="1"/>
    <col min="5898" max="5900" width="9.85546875" style="422" customWidth="1"/>
    <col min="5901" max="5901" width="14.85546875" style="422" customWidth="1"/>
    <col min="5902" max="5902" width="10.42578125" style="422" customWidth="1"/>
    <col min="5903" max="5904" width="6.140625" style="422" customWidth="1"/>
    <col min="5905" max="5906" width="9.85546875" style="422" customWidth="1"/>
    <col min="5907" max="5907" width="10.42578125" style="422" customWidth="1"/>
    <col min="5908" max="5908" width="8.140625" style="422" customWidth="1"/>
    <col min="5909" max="5910" width="9.85546875" style="422" customWidth="1"/>
    <col min="5911" max="5911" width="11.85546875" style="422" customWidth="1"/>
    <col min="5912" max="5913" width="9.85546875" style="422" customWidth="1"/>
    <col min="5914" max="5914" width="4" style="422" customWidth="1"/>
    <col min="5915" max="5915" width="4.5703125" style="422" customWidth="1"/>
    <col min="5916" max="5918" width="9.85546875" style="422" customWidth="1"/>
    <col min="5919" max="5919" width="5.140625" style="422" customWidth="1"/>
    <col min="5920" max="5925" width="9.85546875" style="422" customWidth="1"/>
    <col min="5926" max="6144" width="11.42578125" style="422"/>
    <col min="6145" max="6145" width="2.140625" style="422" customWidth="1"/>
    <col min="6146" max="6152" width="9.85546875" style="422" customWidth="1"/>
    <col min="6153" max="6153" width="11.5703125" style="422" customWidth="1"/>
    <col min="6154" max="6156" width="9.85546875" style="422" customWidth="1"/>
    <col min="6157" max="6157" width="14.85546875" style="422" customWidth="1"/>
    <col min="6158" max="6158" width="10.42578125" style="422" customWidth="1"/>
    <col min="6159" max="6160" width="6.140625" style="422" customWidth="1"/>
    <col min="6161" max="6162" width="9.85546875" style="422" customWidth="1"/>
    <col min="6163" max="6163" width="10.42578125" style="422" customWidth="1"/>
    <col min="6164" max="6164" width="8.140625" style="422" customWidth="1"/>
    <col min="6165" max="6166" width="9.85546875" style="422" customWidth="1"/>
    <col min="6167" max="6167" width="11.85546875" style="422" customWidth="1"/>
    <col min="6168" max="6169" width="9.85546875" style="422" customWidth="1"/>
    <col min="6170" max="6170" width="4" style="422" customWidth="1"/>
    <col min="6171" max="6171" width="4.5703125" style="422" customWidth="1"/>
    <col min="6172" max="6174" width="9.85546875" style="422" customWidth="1"/>
    <col min="6175" max="6175" width="5.140625" style="422" customWidth="1"/>
    <col min="6176" max="6181" width="9.85546875" style="422" customWidth="1"/>
    <col min="6182" max="6400" width="11.42578125" style="422"/>
    <col min="6401" max="6401" width="2.140625" style="422" customWidth="1"/>
    <col min="6402" max="6408" width="9.85546875" style="422" customWidth="1"/>
    <col min="6409" max="6409" width="11.5703125" style="422" customWidth="1"/>
    <col min="6410" max="6412" width="9.85546875" style="422" customWidth="1"/>
    <col min="6413" max="6413" width="14.85546875" style="422" customWidth="1"/>
    <col min="6414" max="6414" width="10.42578125" style="422" customWidth="1"/>
    <col min="6415" max="6416" width="6.140625" style="422" customWidth="1"/>
    <col min="6417" max="6418" width="9.85546875" style="422" customWidth="1"/>
    <col min="6419" max="6419" width="10.42578125" style="422" customWidth="1"/>
    <col min="6420" max="6420" width="8.140625" style="422" customWidth="1"/>
    <col min="6421" max="6422" width="9.85546875" style="422" customWidth="1"/>
    <col min="6423" max="6423" width="11.85546875" style="422" customWidth="1"/>
    <col min="6424" max="6425" width="9.85546875" style="422" customWidth="1"/>
    <col min="6426" max="6426" width="4" style="422" customWidth="1"/>
    <col min="6427" max="6427" width="4.5703125" style="422" customWidth="1"/>
    <col min="6428" max="6430" width="9.85546875" style="422" customWidth="1"/>
    <col min="6431" max="6431" width="5.140625" style="422" customWidth="1"/>
    <col min="6432" max="6437" width="9.85546875" style="422" customWidth="1"/>
    <col min="6438" max="6656" width="11.42578125" style="422"/>
    <col min="6657" max="6657" width="2.140625" style="422" customWidth="1"/>
    <col min="6658" max="6664" width="9.85546875" style="422" customWidth="1"/>
    <col min="6665" max="6665" width="11.5703125" style="422" customWidth="1"/>
    <col min="6666" max="6668" width="9.85546875" style="422" customWidth="1"/>
    <col min="6669" max="6669" width="14.85546875" style="422" customWidth="1"/>
    <col min="6670" max="6670" width="10.42578125" style="422" customWidth="1"/>
    <col min="6671" max="6672" width="6.140625" style="422" customWidth="1"/>
    <col min="6673" max="6674" width="9.85546875" style="422" customWidth="1"/>
    <col min="6675" max="6675" width="10.42578125" style="422" customWidth="1"/>
    <col min="6676" max="6676" width="8.140625" style="422" customWidth="1"/>
    <col min="6677" max="6678" width="9.85546875" style="422" customWidth="1"/>
    <col min="6679" max="6679" width="11.85546875" style="422" customWidth="1"/>
    <col min="6680" max="6681" width="9.85546875" style="422" customWidth="1"/>
    <col min="6682" max="6682" width="4" style="422" customWidth="1"/>
    <col min="6683" max="6683" width="4.5703125" style="422" customWidth="1"/>
    <col min="6684" max="6686" width="9.85546875" style="422" customWidth="1"/>
    <col min="6687" max="6687" width="5.140625" style="422" customWidth="1"/>
    <col min="6688" max="6693" width="9.85546875" style="422" customWidth="1"/>
    <col min="6694" max="6912" width="11.42578125" style="422"/>
    <col min="6913" max="6913" width="2.140625" style="422" customWidth="1"/>
    <col min="6914" max="6920" width="9.85546875" style="422" customWidth="1"/>
    <col min="6921" max="6921" width="11.5703125" style="422" customWidth="1"/>
    <col min="6922" max="6924" width="9.85546875" style="422" customWidth="1"/>
    <col min="6925" max="6925" width="14.85546875" style="422" customWidth="1"/>
    <col min="6926" max="6926" width="10.42578125" style="422" customWidth="1"/>
    <col min="6927" max="6928" width="6.140625" style="422" customWidth="1"/>
    <col min="6929" max="6930" width="9.85546875" style="422" customWidth="1"/>
    <col min="6931" max="6931" width="10.42578125" style="422" customWidth="1"/>
    <col min="6932" max="6932" width="8.140625" style="422" customWidth="1"/>
    <col min="6933" max="6934" width="9.85546875" style="422" customWidth="1"/>
    <col min="6935" max="6935" width="11.85546875" style="422" customWidth="1"/>
    <col min="6936" max="6937" width="9.85546875" style="422" customWidth="1"/>
    <col min="6938" max="6938" width="4" style="422" customWidth="1"/>
    <col min="6939" max="6939" width="4.5703125" style="422" customWidth="1"/>
    <col min="6940" max="6942" width="9.85546875" style="422" customWidth="1"/>
    <col min="6943" max="6943" width="5.140625" style="422" customWidth="1"/>
    <col min="6944" max="6949" width="9.85546875" style="422" customWidth="1"/>
    <col min="6950" max="7168" width="11.42578125" style="422"/>
    <col min="7169" max="7169" width="2.140625" style="422" customWidth="1"/>
    <col min="7170" max="7176" width="9.85546875" style="422" customWidth="1"/>
    <col min="7177" max="7177" width="11.5703125" style="422" customWidth="1"/>
    <col min="7178" max="7180" width="9.85546875" style="422" customWidth="1"/>
    <col min="7181" max="7181" width="14.85546875" style="422" customWidth="1"/>
    <col min="7182" max="7182" width="10.42578125" style="422" customWidth="1"/>
    <col min="7183" max="7184" width="6.140625" style="422" customWidth="1"/>
    <col min="7185" max="7186" width="9.85546875" style="422" customWidth="1"/>
    <col min="7187" max="7187" width="10.42578125" style="422" customWidth="1"/>
    <col min="7188" max="7188" width="8.140625" style="422" customWidth="1"/>
    <col min="7189" max="7190" width="9.85546875" style="422" customWidth="1"/>
    <col min="7191" max="7191" width="11.85546875" style="422" customWidth="1"/>
    <col min="7192" max="7193" width="9.85546875" style="422" customWidth="1"/>
    <col min="7194" max="7194" width="4" style="422" customWidth="1"/>
    <col min="7195" max="7195" width="4.5703125" style="422" customWidth="1"/>
    <col min="7196" max="7198" width="9.85546875" style="422" customWidth="1"/>
    <col min="7199" max="7199" width="5.140625" style="422" customWidth="1"/>
    <col min="7200" max="7205" width="9.85546875" style="422" customWidth="1"/>
    <col min="7206" max="7424" width="11.42578125" style="422"/>
    <col min="7425" max="7425" width="2.140625" style="422" customWidth="1"/>
    <col min="7426" max="7432" width="9.85546875" style="422" customWidth="1"/>
    <col min="7433" max="7433" width="11.5703125" style="422" customWidth="1"/>
    <col min="7434" max="7436" width="9.85546875" style="422" customWidth="1"/>
    <col min="7437" max="7437" width="14.85546875" style="422" customWidth="1"/>
    <col min="7438" max="7438" width="10.42578125" style="422" customWidth="1"/>
    <col min="7439" max="7440" width="6.140625" style="422" customWidth="1"/>
    <col min="7441" max="7442" width="9.85546875" style="422" customWidth="1"/>
    <col min="7443" max="7443" width="10.42578125" style="422" customWidth="1"/>
    <col min="7444" max="7444" width="8.140625" style="422" customWidth="1"/>
    <col min="7445" max="7446" width="9.85546875" style="422" customWidth="1"/>
    <col min="7447" max="7447" width="11.85546875" style="422" customWidth="1"/>
    <col min="7448" max="7449" width="9.85546875" style="422" customWidth="1"/>
    <col min="7450" max="7450" width="4" style="422" customWidth="1"/>
    <col min="7451" max="7451" width="4.5703125" style="422" customWidth="1"/>
    <col min="7452" max="7454" width="9.85546875" style="422" customWidth="1"/>
    <col min="7455" max="7455" width="5.140625" style="422" customWidth="1"/>
    <col min="7456" max="7461" width="9.85546875" style="422" customWidth="1"/>
    <col min="7462" max="7680" width="11.42578125" style="422"/>
    <col min="7681" max="7681" width="2.140625" style="422" customWidth="1"/>
    <col min="7682" max="7688" width="9.85546875" style="422" customWidth="1"/>
    <col min="7689" max="7689" width="11.5703125" style="422" customWidth="1"/>
    <col min="7690" max="7692" width="9.85546875" style="422" customWidth="1"/>
    <col min="7693" max="7693" width="14.85546875" style="422" customWidth="1"/>
    <col min="7694" max="7694" width="10.42578125" style="422" customWidth="1"/>
    <col min="7695" max="7696" width="6.140625" style="422" customWidth="1"/>
    <col min="7697" max="7698" width="9.85546875" style="422" customWidth="1"/>
    <col min="7699" max="7699" width="10.42578125" style="422" customWidth="1"/>
    <col min="7700" max="7700" width="8.140625" style="422" customWidth="1"/>
    <col min="7701" max="7702" width="9.85546875" style="422" customWidth="1"/>
    <col min="7703" max="7703" width="11.85546875" style="422" customWidth="1"/>
    <col min="7704" max="7705" width="9.85546875" style="422" customWidth="1"/>
    <col min="7706" max="7706" width="4" style="422" customWidth="1"/>
    <col min="7707" max="7707" width="4.5703125" style="422" customWidth="1"/>
    <col min="7708" max="7710" width="9.85546875" style="422" customWidth="1"/>
    <col min="7711" max="7711" width="5.140625" style="422" customWidth="1"/>
    <col min="7712" max="7717" width="9.85546875" style="422" customWidth="1"/>
    <col min="7718" max="7936" width="11.42578125" style="422"/>
    <col min="7937" max="7937" width="2.140625" style="422" customWidth="1"/>
    <col min="7938" max="7944" width="9.85546875" style="422" customWidth="1"/>
    <col min="7945" max="7945" width="11.5703125" style="422" customWidth="1"/>
    <col min="7946" max="7948" width="9.85546875" style="422" customWidth="1"/>
    <col min="7949" max="7949" width="14.85546875" style="422" customWidth="1"/>
    <col min="7950" max="7950" width="10.42578125" style="422" customWidth="1"/>
    <col min="7951" max="7952" width="6.140625" style="422" customWidth="1"/>
    <col min="7953" max="7954" width="9.85546875" style="422" customWidth="1"/>
    <col min="7955" max="7955" width="10.42578125" style="422" customWidth="1"/>
    <col min="7956" max="7956" width="8.140625" style="422" customWidth="1"/>
    <col min="7957" max="7958" width="9.85546875" style="422" customWidth="1"/>
    <col min="7959" max="7959" width="11.85546875" style="422" customWidth="1"/>
    <col min="7960" max="7961" width="9.85546875" style="422" customWidth="1"/>
    <col min="7962" max="7962" width="4" style="422" customWidth="1"/>
    <col min="7963" max="7963" width="4.5703125" style="422" customWidth="1"/>
    <col min="7964" max="7966" width="9.85546875" style="422" customWidth="1"/>
    <col min="7967" max="7967" width="5.140625" style="422" customWidth="1"/>
    <col min="7968" max="7973" width="9.85546875" style="422" customWidth="1"/>
    <col min="7974" max="8192" width="11.42578125" style="422"/>
    <col min="8193" max="8193" width="2.140625" style="422" customWidth="1"/>
    <col min="8194" max="8200" width="9.85546875" style="422" customWidth="1"/>
    <col min="8201" max="8201" width="11.5703125" style="422" customWidth="1"/>
    <col min="8202" max="8204" width="9.85546875" style="422" customWidth="1"/>
    <col min="8205" max="8205" width="14.85546875" style="422" customWidth="1"/>
    <col min="8206" max="8206" width="10.42578125" style="422" customWidth="1"/>
    <col min="8207" max="8208" width="6.140625" style="422" customWidth="1"/>
    <col min="8209" max="8210" width="9.85546875" style="422" customWidth="1"/>
    <col min="8211" max="8211" width="10.42578125" style="422" customWidth="1"/>
    <col min="8212" max="8212" width="8.140625" style="422" customWidth="1"/>
    <col min="8213" max="8214" width="9.85546875" style="422" customWidth="1"/>
    <col min="8215" max="8215" width="11.85546875" style="422" customWidth="1"/>
    <col min="8216" max="8217" width="9.85546875" style="422" customWidth="1"/>
    <col min="8218" max="8218" width="4" style="422" customWidth="1"/>
    <col min="8219" max="8219" width="4.5703125" style="422" customWidth="1"/>
    <col min="8220" max="8222" width="9.85546875" style="422" customWidth="1"/>
    <col min="8223" max="8223" width="5.140625" style="422" customWidth="1"/>
    <col min="8224" max="8229" width="9.85546875" style="422" customWidth="1"/>
    <col min="8230" max="8448" width="11.42578125" style="422"/>
    <col min="8449" max="8449" width="2.140625" style="422" customWidth="1"/>
    <col min="8450" max="8456" width="9.85546875" style="422" customWidth="1"/>
    <col min="8457" max="8457" width="11.5703125" style="422" customWidth="1"/>
    <col min="8458" max="8460" width="9.85546875" style="422" customWidth="1"/>
    <col min="8461" max="8461" width="14.85546875" style="422" customWidth="1"/>
    <col min="8462" max="8462" width="10.42578125" style="422" customWidth="1"/>
    <col min="8463" max="8464" width="6.140625" style="422" customWidth="1"/>
    <col min="8465" max="8466" width="9.85546875" style="422" customWidth="1"/>
    <col min="8467" max="8467" width="10.42578125" style="422" customWidth="1"/>
    <col min="8468" max="8468" width="8.140625" style="422" customWidth="1"/>
    <col min="8469" max="8470" width="9.85546875" style="422" customWidth="1"/>
    <col min="8471" max="8471" width="11.85546875" style="422" customWidth="1"/>
    <col min="8472" max="8473" width="9.85546875" style="422" customWidth="1"/>
    <col min="8474" max="8474" width="4" style="422" customWidth="1"/>
    <col min="8475" max="8475" width="4.5703125" style="422" customWidth="1"/>
    <col min="8476" max="8478" width="9.85546875" style="422" customWidth="1"/>
    <col min="8479" max="8479" width="5.140625" style="422" customWidth="1"/>
    <col min="8480" max="8485" width="9.85546875" style="422" customWidth="1"/>
    <col min="8486" max="8704" width="11.42578125" style="422"/>
    <col min="8705" max="8705" width="2.140625" style="422" customWidth="1"/>
    <col min="8706" max="8712" width="9.85546875" style="422" customWidth="1"/>
    <col min="8713" max="8713" width="11.5703125" style="422" customWidth="1"/>
    <col min="8714" max="8716" width="9.85546875" style="422" customWidth="1"/>
    <col min="8717" max="8717" width="14.85546875" style="422" customWidth="1"/>
    <col min="8718" max="8718" width="10.42578125" style="422" customWidth="1"/>
    <col min="8719" max="8720" width="6.140625" style="422" customWidth="1"/>
    <col min="8721" max="8722" width="9.85546875" style="422" customWidth="1"/>
    <col min="8723" max="8723" width="10.42578125" style="422" customWidth="1"/>
    <col min="8724" max="8724" width="8.140625" style="422" customWidth="1"/>
    <col min="8725" max="8726" width="9.85546875" style="422" customWidth="1"/>
    <col min="8727" max="8727" width="11.85546875" style="422" customWidth="1"/>
    <col min="8728" max="8729" width="9.85546875" style="422" customWidth="1"/>
    <col min="8730" max="8730" width="4" style="422" customWidth="1"/>
    <col min="8731" max="8731" width="4.5703125" style="422" customWidth="1"/>
    <col min="8732" max="8734" width="9.85546875" style="422" customWidth="1"/>
    <col min="8735" max="8735" width="5.140625" style="422" customWidth="1"/>
    <col min="8736" max="8741" width="9.85546875" style="422" customWidth="1"/>
    <col min="8742" max="8960" width="11.42578125" style="422"/>
    <col min="8961" max="8961" width="2.140625" style="422" customWidth="1"/>
    <col min="8962" max="8968" width="9.85546875" style="422" customWidth="1"/>
    <col min="8969" max="8969" width="11.5703125" style="422" customWidth="1"/>
    <col min="8970" max="8972" width="9.85546875" style="422" customWidth="1"/>
    <col min="8973" max="8973" width="14.85546875" style="422" customWidth="1"/>
    <col min="8974" max="8974" width="10.42578125" style="422" customWidth="1"/>
    <col min="8975" max="8976" width="6.140625" style="422" customWidth="1"/>
    <col min="8977" max="8978" width="9.85546875" style="422" customWidth="1"/>
    <col min="8979" max="8979" width="10.42578125" style="422" customWidth="1"/>
    <col min="8980" max="8980" width="8.140625" style="422" customWidth="1"/>
    <col min="8981" max="8982" width="9.85546875" style="422" customWidth="1"/>
    <col min="8983" max="8983" width="11.85546875" style="422" customWidth="1"/>
    <col min="8984" max="8985" width="9.85546875" style="422" customWidth="1"/>
    <col min="8986" max="8986" width="4" style="422" customWidth="1"/>
    <col min="8987" max="8987" width="4.5703125" style="422" customWidth="1"/>
    <col min="8988" max="8990" width="9.85546875" style="422" customWidth="1"/>
    <col min="8991" max="8991" width="5.140625" style="422" customWidth="1"/>
    <col min="8992" max="8997" width="9.85546875" style="422" customWidth="1"/>
    <col min="8998" max="9216" width="11.42578125" style="422"/>
    <col min="9217" max="9217" width="2.140625" style="422" customWidth="1"/>
    <col min="9218" max="9224" width="9.85546875" style="422" customWidth="1"/>
    <col min="9225" max="9225" width="11.5703125" style="422" customWidth="1"/>
    <col min="9226" max="9228" width="9.85546875" style="422" customWidth="1"/>
    <col min="9229" max="9229" width="14.85546875" style="422" customWidth="1"/>
    <col min="9230" max="9230" width="10.42578125" style="422" customWidth="1"/>
    <col min="9231" max="9232" width="6.140625" style="422" customWidth="1"/>
    <col min="9233" max="9234" width="9.85546875" style="422" customWidth="1"/>
    <col min="9235" max="9235" width="10.42578125" style="422" customWidth="1"/>
    <col min="9236" max="9236" width="8.140625" style="422" customWidth="1"/>
    <col min="9237" max="9238" width="9.85546875" style="422" customWidth="1"/>
    <col min="9239" max="9239" width="11.85546875" style="422" customWidth="1"/>
    <col min="9240" max="9241" width="9.85546875" style="422" customWidth="1"/>
    <col min="9242" max="9242" width="4" style="422" customWidth="1"/>
    <col min="9243" max="9243" width="4.5703125" style="422" customWidth="1"/>
    <col min="9244" max="9246" width="9.85546875" style="422" customWidth="1"/>
    <col min="9247" max="9247" width="5.140625" style="422" customWidth="1"/>
    <col min="9248" max="9253" width="9.85546875" style="422" customWidth="1"/>
    <col min="9254" max="9472" width="11.42578125" style="422"/>
    <col min="9473" max="9473" width="2.140625" style="422" customWidth="1"/>
    <col min="9474" max="9480" width="9.85546875" style="422" customWidth="1"/>
    <col min="9481" max="9481" width="11.5703125" style="422" customWidth="1"/>
    <col min="9482" max="9484" width="9.85546875" style="422" customWidth="1"/>
    <col min="9485" max="9485" width="14.85546875" style="422" customWidth="1"/>
    <col min="9486" max="9486" width="10.42578125" style="422" customWidth="1"/>
    <col min="9487" max="9488" width="6.140625" style="422" customWidth="1"/>
    <col min="9489" max="9490" width="9.85546875" style="422" customWidth="1"/>
    <col min="9491" max="9491" width="10.42578125" style="422" customWidth="1"/>
    <col min="9492" max="9492" width="8.140625" style="422" customWidth="1"/>
    <col min="9493" max="9494" width="9.85546875" style="422" customWidth="1"/>
    <col min="9495" max="9495" width="11.85546875" style="422" customWidth="1"/>
    <col min="9496" max="9497" width="9.85546875" style="422" customWidth="1"/>
    <col min="9498" max="9498" width="4" style="422" customWidth="1"/>
    <col min="9499" max="9499" width="4.5703125" style="422" customWidth="1"/>
    <col min="9500" max="9502" width="9.85546875" style="422" customWidth="1"/>
    <col min="9503" max="9503" width="5.140625" style="422" customWidth="1"/>
    <col min="9504" max="9509" width="9.85546875" style="422" customWidth="1"/>
    <col min="9510" max="9728" width="11.42578125" style="422"/>
    <col min="9729" max="9729" width="2.140625" style="422" customWidth="1"/>
    <col min="9730" max="9736" width="9.85546875" style="422" customWidth="1"/>
    <col min="9737" max="9737" width="11.5703125" style="422" customWidth="1"/>
    <col min="9738" max="9740" width="9.85546875" style="422" customWidth="1"/>
    <col min="9741" max="9741" width="14.85546875" style="422" customWidth="1"/>
    <col min="9742" max="9742" width="10.42578125" style="422" customWidth="1"/>
    <col min="9743" max="9744" width="6.140625" style="422" customWidth="1"/>
    <col min="9745" max="9746" width="9.85546875" style="422" customWidth="1"/>
    <col min="9747" max="9747" width="10.42578125" style="422" customWidth="1"/>
    <col min="9748" max="9748" width="8.140625" style="422" customWidth="1"/>
    <col min="9749" max="9750" width="9.85546875" style="422" customWidth="1"/>
    <col min="9751" max="9751" width="11.85546875" style="422" customWidth="1"/>
    <col min="9752" max="9753" width="9.85546875" style="422" customWidth="1"/>
    <col min="9754" max="9754" width="4" style="422" customWidth="1"/>
    <col min="9755" max="9755" width="4.5703125" style="422" customWidth="1"/>
    <col min="9756" max="9758" width="9.85546875" style="422" customWidth="1"/>
    <col min="9759" max="9759" width="5.140625" style="422" customWidth="1"/>
    <col min="9760" max="9765" width="9.85546875" style="422" customWidth="1"/>
    <col min="9766" max="9984" width="11.42578125" style="422"/>
    <col min="9985" max="9985" width="2.140625" style="422" customWidth="1"/>
    <col min="9986" max="9992" width="9.85546875" style="422" customWidth="1"/>
    <col min="9993" max="9993" width="11.5703125" style="422" customWidth="1"/>
    <col min="9994" max="9996" width="9.85546875" style="422" customWidth="1"/>
    <col min="9997" max="9997" width="14.85546875" style="422" customWidth="1"/>
    <col min="9998" max="9998" width="10.42578125" style="422" customWidth="1"/>
    <col min="9999" max="10000" width="6.140625" style="422" customWidth="1"/>
    <col min="10001" max="10002" width="9.85546875" style="422" customWidth="1"/>
    <col min="10003" max="10003" width="10.42578125" style="422" customWidth="1"/>
    <col min="10004" max="10004" width="8.140625" style="422" customWidth="1"/>
    <col min="10005" max="10006" width="9.85546875" style="422" customWidth="1"/>
    <col min="10007" max="10007" width="11.85546875" style="422" customWidth="1"/>
    <col min="10008" max="10009" width="9.85546875" style="422" customWidth="1"/>
    <col min="10010" max="10010" width="4" style="422" customWidth="1"/>
    <col min="10011" max="10011" width="4.5703125" style="422" customWidth="1"/>
    <col min="10012" max="10014" width="9.85546875" style="422" customWidth="1"/>
    <col min="10015" max="10015" width="5.140625" style="422" customWidth="1"/>
    <col min="10016" max="10021" width="9.85546875" style="422" customWidth="1"/>
    <col min="10022" max="10240" width="11.42578125" style="422"/>
    <col min="10241" max="10241" width="2.140625" style="422" customWidth="1"/>
    <col min="10242" max="10248" width="9.85546875" style="422" customWidth="1"/>
    <col min="10249" max="10249" width="11.5703125" style="422" customWidth="1"/>
    <col min="10250" max="10252" width="9.85546875" style="422" customWidth="1"/>
    <col min="10253" max="10253" width="14.85546875" style="422" customWidth="1"/>
    <col min="10254" max="10254" width="10.42578125" style="422" customWidth="1"/>
    <col min="10255" max="10256" width="6.140625" style="422" customWidth="1"/>
    <col min="10257" max="10258" width="9.85546875" style="422" customWidth="1"/>
    <col min="10259" max="10259" width="10.42578125" style="422" customWidth="1"/>
    <col min="10260" max="10260" width="8.140625" style="422" customWidth="1"/>
    <col min="10261" max="10262" width="9.85546875" style="422" customWidth="1"/>
    <col min="10263" max="10263" width="11.85546875" style="422" customWidth="1"/>
    <col min="10264" max="10265" width="9.85546875" style="422" customWidth="1"/>
    <col min="10266" max="10266" width="4" style="422" customWidth="1"/>
    <col min="10267" max="10267" width="4.5703125" style="422" customWidth="1"/>
    <col min="10268" max="10270" width="9.85546875" style="422" customWidth="1"/>
    <col min="10271" max="10271" width="5.140625" style="422" customWidth="1"/>
    <col min="10272" max="10277" width="9.85546875" style="422" customWidth="1"/>
    <col min="10278" max="10496" width="11.42578125" style="422"/>
    <col min="10497" max="10497" width="2.140625" style="422" customWidth="1"/>
    <col min="10498" max="10504" width="9.85546875" style="422" customWidth="1"/>
    <col min="10505" max="10505" width="11.5703125" style="422" customWidth="1"/>
    <col min="10506" max="10508" width="9.85546875" style="422" customWidth="1"/>
    <col min="10509" max="10509" width="14.85546875" style="422" customWidth="1"/>
    <col min="10510" max="10510" width="10.42578125" style="422" customWidth="1"/>
    <col min="10511" max="10512" width="6.140625" style="422" customWidth="1"/>
    <col min="10513" max="10514" width="9.85546875" style="422" customWidth="1"/>
    <col min="10515" max="10515" width="10.42578125" style="422" customWidth="1"/>
    <col min="10516" max="10516" width="8.140625" style="422" customWidth="1"/>
    <col min="10517" max="10518" width="9.85546875" style="422" customWidth="1"/>
    <col min="10519" max="10519" width="11.85546875" style="422" customWidth="1"/>
    <col min="10520" max="10521" width="9.85546875" style="422" customWidth="1"/>
    <col min="10522" max="10522" width="4" style="422" customWidth="1"/>
    <col min="10523" max="10523" width="4.5703125" style="422" customWidth="1"/>
    <col min="10524" max="10526" width="9.85546875" style="422" customWidth="1"/>
    <col min="10527" max="10527" width="5.140625" style="422" customWidth="1"/>
    <col min="10528" max="10533" width="9.85546875" style="422" customWidth="1"/>
    <col min="10534" max="10752" width="11.42578125" style="422"/>
    <col min="10753" max="10753" width="2.140625" style="422" customWidth="1"/>
    <col min="10754" max="10760" width="9.85546875" style="422" customWidth="1"/>
    <col min="10761" max="10761" width="11.5703125" style="422" customWidth="1"/>
    <col min="10762" max="10764" width="9.85546875" style="422" customWidth="1"/>
    <col min="10765" max="10765" width="14.85546875" style="422" customWidth="1"/>
    <col min="10766" max="10766" width="10.42578125" style="422" customWidth="1"/>
    <col min="10767" max="10768" width="6.140625" style="422" customWidth="1"/>
    <col min="10769" max="10770" width="9.85546875" style="422" customWidth="1"/>
    <col min="10771" max="10771" width="10.42578125" style="422" customWidth="1"/>
    <col min="10772" max="10772" width="8.140625" style="422" customWidth="1"/>
    <col min="10773" max="10774" width="9.85546875" style="422" customWidth="1"/>
    <col min="10775" max="10775" width="11.85546875" style="422" customWidth="1"/>
    <col min="10776" max="10777" width="9.85546875" style="422" customWidth="1"/>
    <col min="10778" max="10778" width="4" style="422" customWidth="1"/>
    <col min="10779" max="10779" width="4.5703125" style="422" customWidth="1"/>
    <col min="10780" max="10782" width="9.85546875" style="422" customWidth="1"/>
    <col min="10783" max="10783" width="5.140625" style="422" customWidth="1"/>
    <col min="10784" max="10789" width="9.85546875" style="422" customWidth="1"/>
    <col min="10790" max="11008" width="11.42578125" style="422"/>
    <col min="11009" max="11009" width="2.140625" style="422" customWidth="1"/>
    <col min="11010" max="11016" width="9.85546875" style="422" customWidth="1"/>
    <col min="11017" max="11017" width="11.5703125" style="422" customWidth="1"/>
    <col min="11018" max="11020" width="9.85546875" style="422" customWidth="1"/>
    <col min="11021" max="11021" width="14.85546875" style="422" customWidth="1"/>
    <col min="11022" max="11022" width="10.42578125" style="422" customWidth="1"/>
    <col min="11023" max="11024" width="6.140625" style="422" customWidth="1"/>
    <col min="11025" max="11026" width="9.85546875" style="422" customWidth="1"/>
    <col min="11027" max="11027" width="10.42578125" style="422" customWidth="1"/>
    <col min="11028" max="11028" width="8.140625" style="422" customWidth="1"/>
    <col min="11029" max="11030" width="9.85546875" style="422" customWidth="1"/>
    <col min="11031" max="11031" width="11.85546875" style="422" customWidth="1"/>
    <col min="11032" max="11033" width="9.85546875" style="422" customWidth="1"/>
    <col min="11034" max="11034" width="4" style="422" customWidth="1"/>
    <col min="11035" max="11035" width="4.5703125" style="422" customWidth="1"/>
    <col min="11036" max="11038" width="9.85546875" style="422" customWidth="1"/>
    <col min="11039" max="11039" width="5.140625" style="422" customWidth="1"/>
    <col min="11040" max="11045" width="9.85546875" style="422" customWidth="1"/>
    <col min="11046" max="11264" width="11.42578125" style="422"/>
    <col min="11265" max="11265" width="2.140625" style="422" customWidth="1"/>
    <col min="11266" max="11272" width="9.85546875" style="422" customWidth="1"/>
    <col min="11273" max="11273" width="11.5703125" style="422" customWidth="1"/>
    <col min="11274" max="11276" width="9.85546875" style="422" customWidth="1"/>
    <col min="11277" max="11277" width="14.85546875" style="422" customWidth="1"/>
    <col min="11278" max="11278" width="10.42578125" style="422" customWidth="1"/>
    <col min="11279" max="11280" width="6.140625" style="422" customWidth="1"/>
    <col min="11281" max="11282" width="9.85546875" style="422" customWidth="1"/>
    <col min="11283" max="11283" width="10.42578125" style="422" customWidth="1"/>
    <col min="11284" max="11284" width="8.140625" style="422" customWidth="1"/>
    <col min="11285" max="11286" width="9.85546875" style="422" customWidth="1"/>
    <col min="11287" max="11287" width="11.85546875" style="422" customWidth="1"/>
    <col min="11288" max="11289" width="9.85546875" style="422" customWidth="1"/>
    <col min="11290" max="11290" width="4" style="422" customWidth="1"/>
    <col min="11291" max="11291" width="4.5703125" style="422" customWidth="1"/>
    <col min="11292" max="11294" width="9.85546875" style="422" customWidth="1"/>
    <col min="11295" max="11295" width="5.140625" style="422" customWidth="1"/>
    <col min="11296" max="11301" width="9.85546875" style="422" customWidth="1"/>
    <col min="11302" max="11520" width="11.42578125" style="422"/>
    <col min="11521" max="11521" width="2.140625" style="422" customWidth="1"/>
    <col min="11522" max="11528" width="9.85546875" style="422" customWidth="1"/>
    <col min="11529" max="11529" width="11.5703125" style="422" customWidth="1"/>
    <col min="11530" max="11532" width="9.85546875" style="422" customWidth="1"/>
    <col min="11533" max="11533" width="14.85546875" style="422" customWidth="1"/>
    <col min="11534" max="11534" width="10.42578125" style="422" customWidth="1"/>
    <col min="11535" max="11536" width="6.140625" style="422" customWidth="1"/>
    <col min="11537" max="11538" width="9.85546875" style="422" customWidth="1"/>
    <col min="11539" max="11539" width="10.42578125" style="422" customWidth="1"/>
    <col min="11540" max="11540" width="8.140625" style="422" customWidth="1"/>
    <col min="11541" max="11542" width="9.85546875" style="422" customWidth="1"/>
    <col min="11543" max="11543" width="11.85546875" style="422" customWidth="1"/>
    <col min="11544" max="11545" width="9.85546875" style="422" customWidth="1"/>
    <col min="11546" max="11546" width="4" style="422" customWidth="1"/>
    <col min="11547" max="11547" width="4.5703125" style="422" customWidth="1"/>
    <col min="11548" max="11550" width="9.85546875" style="422" customWidth="1"/>
    <col min="11551" max="11551" width="5.140625" style="422" customWidth="1"/>
    <col min="11552" max="11557" width="9.85546875" style="422" customWidth="1"/>
    <col min="11558" max="11776" width="11.42578125" style="422"/>
    <col min="11777" max="11777" width="2.140625" style="422" customWidth="1"/>
    <col min="11778" max="11784" width="9.85546875" style="422" customWidth="1"/>
    <col min="11785" max="11785" width="11.5703125" style="422" customWidth="1"/>
    <col min="11786" max="11788" width="9.85546875" style="422" customWidth="1"/>
    <col min="11789" max="11789" width="14.85546875" style="422" customWidth="1"/>
    <col min="11790" max="11790" width="10.42578125" style="422" customWidth="1"/>
    <col min="11791" max="11792" width="6.140625" style="422" customWidth="1"/>
    <col min="11793" max="11794" width="9.85546875" style="422" customWidth="1"/>
    <col min="11795" max="11795" width="10.42578125" style="422" customWidth="1"/>
    <col min="11796" max="11796" width="8.140625" style="422" customWidth="1"/>
    <col min="11797" max="11798" width="9.85546875" style="422" customWidth="1"/>
    <col min="11799" max="11799" width="11.85546875" style="422" customWidth="1"/>
    <col min="11800" max="11801" width="9.85546875" style="422" customWidth="1"/>
    <col min="11802" max="11802" width="4" style="422" customWidth="1"/>
    <col min="11803" max="11803" width="4.5703125" style="422" customWidth="1"/>
    <col min="11804" max="11806" width="9.85546875" style="422" customWidth="1"/>
    <col min="11807" max="11807" width="5.140625" style="422" customWidth="1"/>
    <col min="11808" max="11813" width="9.85546875" style="422" customWidth="1"/>
    <col min="11814" max="12032" width="11.42578125" style="422"/>
    <col min="12033" max="12033" width="2.140625" style="422" customWidth="1"/>
    <col min="12034" max="12040" width="9.85546875" style="422" customWidth="1"/>
    <col min="12041" max="12041" width="11.5703125" style="422" customWidth="1"/>
    <col min="12042" max="12044" width="9.85546875" style="422" customWidth="1"/>
    <col min="12045" max="12045" width="14.85546875" style="422" customWidth="1"/>
    <col min="12046" max="12046" width="10.42578125" style="422" customWidth="1"/>
    <col min="12047" max="12048" width="6.140625" style="422" customWidth="1"/>
    <col min="12049" max="12050" width="9.85546875" style="422" customWidth="1"/>
    <col min="12051" max="12051" width="10.42578125" style="422" customWidth="1"/>
    <col min="12052" max="12052" width="8.140625" style="422" customWidth="1"/>
    <col min="12053" max="12054" width="9.85546875" style="422" customWidth="1"/>
    <col min="12055" max="12055" width="11.85546875" style="422" customWidth="1"/>
    <col min="12056" max="12057" width="9.85546875" style="422" customWidth="1"/>
    <col min="12058" max="12058" width="4" style="422" customWidth="1"/>
    <col min="12059" max="12059" width="4.5703125" style="422" customWidth="1"/>
    <col min="12060" max="12062" width="9.85546875" style="422" customWidth="1"/>
    <col min="12063" max="12063" width="5.140625" style="422" customWidth="1"/>
    <col min="12064" max="12069" width="9.85546875" style="422" customWidth="1"/>
    <col min="12070" max="12288" width="11.42578125" style="422"/>
    <col min="12289" max="12289" width="2.140625" style="422" customWidth="1"/>
    <col min="12290" max="12296" width="9.85546875" style="422" customWidth="1"/>
    <col min="12297" max="12297" width="11.5703125" style="422" customWidth="1"/>
    <col min="12298" max="12300" width="9.85546875" style="422" customWidth="1"/>
    <col min="12301" max="12301" width="14.85546875" style="422" customWidth="1"/>
    <col min="12302" max="12302" width="10.42578125" style="422" customWidth="1"/>
    <col min="12303" max="12304" width="6.140625" style="422" customWidth="1"/>
    <col min="12305" max="12306" width="9.85546875" style="422" customWidth="1"/>
    <col min="12307" max="12307" width="10.42578125" style="422" customWidth="1"/>
    <col min="12308" max="12308" width="8.140625" style="422" customWidth="1"/>
    <col min="12309" max="12310" width="9.85546875" style="422" customWidth="1"/>
    <col min="12311" max="12311" width="11.85546875" style="422" customWidth="1"/>
    <col min="12312" max="12313" width="9.85546875" style="422" customWidth="1"/>
    <col min="12314" max="12314" width="4" style="422" customWidth="1"/>
    <col min="12315" max="12315" width="4.5703125" style="422" customWidth="1"/>
    <col min="12316" max="12318" width="9.85546875" style="422" customWidth="1"/>
    <col min="12319" max="12319" width="5.140625" style="422" customWidth="1"/>
    <col min="12320" max="12325" width="9.85546875" style="422" customWidth="1"/>
    <col min="12326" max="12544" width="11.42578125" style="422"/>
    <col min="12545" max="12545" width="2.140625" style="422" customWidth="1"/>
    <col min="12546" max="12552" width="9.85546875" style="422" customWidth="1"/>
    <col min="12553" max="12553" width="11.5703125" style="422" customWidth="1"/>
    <col min="12554" max="12556" width="9.85546875" style="422" customWidth="1"/>
    <col min="12557" max="12557" width="14.85546875" style="422" customWidth="1"/>
    <col min="12558" max="12558" width="10.42578125" style="422" customWidth="1"/>
    <col min="12559" max="12560" width="6.140625" style="422" customWidth="1"/>
    <col min="12561" max="12562" width="9.85546875" style="422" customWidth="1"/>
    <col min="12563" max="12563" width="10.42578125" style="422" customWidth="1"/>
    <col min="12564" max="12564" width="8.140625" style="422" customWidth="1"/>
    <col min="12565" max="12566" width="9.85546875" style="422" customWidth="1"/>
    <col min="12567" max="12567" width="11.85546875" style="422" customWidth="1"/>
    <col min="12568" max="12569" width="9.85546875" style="422" customWidth="1"/>
    <col min="12570" max="12570" width="4" style="422" customWidth="1"/>
    <col min="12571" max="12571" width="4.5703125" style="422" customWidth="1"/>
    <col min="12572" max="12574" width="9.85546875" style="422" customWidth="1"/>
    <col min="12575" max="12575" width="5.140625" style="422" customWidth="1"/>
    <col min="12576" max="12581" width="9.85546875" style="422" customWidth="1"/>
    <col min="12582" max="12800" width="11.42578125" style="422"/>
    <col min="12801" max="12801" width="2.140625" style="422" customWidth="1"/>
    <col min="12802" max="12808" width="9.85546875" style="422" customWidth="1"/>
    <col min="12809" max="12809" width="11.5703125" style="422" customWidth="1"/>
    <col min="12810" max="12812" width="9.85546875" style="422" customWidth="1"/>
    <col min="12813" max="12813" width="14.85546875" style="422" customWidth="1"/>
    <col min="12814" max="12814" width="10.42578125" style="422" customWidth="1"/>
    <col min="12815" max="12816" width="6.140625" style="422" customWidth="1"/>
    <col min="12817" max="12818" width="9.85546875" style="422" customWidth="1"/>
    <col min="12819" max="12819" width="10.42578125" style="422" customWidth="1"/>
    <col min="12820" max="12820" width="8.140625" style="422" customWidth="1"/>
    <col min="12821" max="12822" width="9.85546875" style="422" customWidth="1"/>
    <col min="12823" max="12823" width="11.85546875" style="422" customWidth="1"/>
    <col min="12824" max="12825" width="9.85546875" style="422" customWidth="1"/>
    <col min="12826" max="12826" width="4" style="422" customWidth="1"/>
    <col min="12827" max="12827" width="4.5703125" style="422" customWidth="1"/>
    <col min="12828" max="12830" width="9.85546875" style="422" customWidth="1"/>
    <col min="12831" max="12831" width="5.140625" style="422" customWidth="1"/>
    <col min="12832" max="12837" width="9.85546875" style="422" customWidth="1"/>
    <col min="12838" max="13056" width="11.42578125" style="422"/>
    <col min="13057" max="13057" width="2.140625" style="422" customWidth="1"/>
    <col min="13058" max="13064" width="9.85546875" style="422" customWidth="1"/>
    <col min="13065" max="13065" width="11.5703125" style="422" customWidth="1"/>
    <col min="13066" max="13068" width="9.85546875" style="422" customWidth="1"/>
    <col min="13069" max="13069" width="14.85546875" style="422" customWidth="1"/>
    <col min="13070" max="13070" width="10.42578125" style="422" customWidth="1"/>
    <col min="13071" max="13072" width="6.140625" style="422" customWidth="1"/>
    <col min="13073" max="13074" width="9.85546875" style="422" customWidth="1"/>
    <col min="13075" max="13075" width="10.42578125" style="422" customWidth="1"/>
    <col min="13076" max="13076" width="8.140625" style="422" customWidth="1"/>
    <col min="13077" max="13078" width="9.85546875" style="422" customWidth="1"/>
    <col min="13079" max="13079" width="11.85546875" style="422" customWidth="1"/>
    <col min="13080" max="13081" width="9.85546875" style="422" customWidth="1"/>
    <col min="13082" max="13082" width="4" style="422" customWidth="1"/>
    <col min="13083" max="13083" width="4.5703125" style="422" customWidth="1"/>
    <col min="13084" max="13086" width="9.85546875" style="422" customWidth="1"/>
    <col min="13087" max="13087" width="5.140625" style="422" customWidth="1"/>
    <col min="13088" max="13093" width="9.85546875" style="422" customWidth="1"/>
    <col min="13094" max="13312" width="11.42578125" style="422"/>
    <col min="13313" max="13313" width="2.140625" style="422" customWidth="1"/>
    <col min="13314" max="13320" width="9.85546875" style="422" customWidth="1"/>
    <col min="13321" max="13321" width="11.5703125" style="422" customWidth="1"/>
    <col min="13322" max="13324" width="9.85546875" style="422" customWidth="1"/>
    <col min="13325" max="13325" width="14.85546875" style="422" customWidth="1"/>
    <col min="13326" max="13326" width="10.42578125" style="422" customWidth="1"/>
    <col min="13327" max="13328" width="6.140625" style="422" customWidth="1"/>
    <col min="13329" max="13330" width="9.85546875" style="422" customWidth="1"/>
    <col min="13331" max="13331" width="10.42578125" style="422" customWidth="1"/>
    <col min="13332" max="13332" width="8.140625" style="422" customWidth="1"/>
    <col min="13333" max="13334" width="9.85546875" style="422" customWidth="1"/>
    <col min="13335" max="13335" width="11.85546875" style="422" customWidth="1"/>
    <col min="13336" max="13337" width="9.85546875" style="422" customWidth="1"/>
    <col min="13338" max="13338" width="4" style="422" customWidth="1"/>
    <col min="13339" max="13339" width="4.5703125" style="422" customWidth="1"/>
    <col min="13340" max="13342" width="9.85546875" style="422" customWidth="1"/>
    <col min="13343" max="13343" width="5.140625" style="422" customWidth="1"/>
    <col min="13344" max="13349" width="9.85546875" style="422" customWidth="1"/>
    <col min="13350" max="13568" width="11.42578125" style="422"/>
    <col min="13569" max="13569" width="2.140625" style="422" customWidth="1"/>
    <col min="13570" max="13576" width="9.85546875" style="422" customWidth="1"/>
    <col min="13577" max="13577" width="11.5703125" style="422" customWidth="1"/>
    <col min="13578" max="13580" width="9.85546875" style="422" customWidth="1"/>
    <col min="13581" max="13581" width="14.85546875" style="422" customWidth="1"/>
    <col min="13582" max="13582" width="10.42578125" style="422" customWidth="1"/>
    <col min="13583" max="13584" width="6.140625" style="422" customWidth="1"/>
    <col min="13585" max="13586" width="9.85546875" style="422" customWidth="1"/>
    <col min="13587" max="13587" width="10.42578125" style="422" customWidth="1"/>
    <col min="13588" max="13588" width="8.140625" style="422" customWidth="1"/>
    <col min="13589" max="13590" width="9.85546875" style="422" customWidth="1"/>
    <col min="13591" max="13591" width="11.85546875" style="422" customWidth="1"/>
    <col min="13592" max="13593" width="9.85546875" style="422" customWidth="1"/>
    <col min="13594" max="13594" width="4" style="422" customWidth="1"/>
    <col min="13595" max="13595" width="4.5703125" style="422" customWidth="1"/>
    <col min="13596" max="13598" width="9.85546875" style="422" customWidth="1"/>
    <col min="13599" max="13599" width="5.140625" style="422" customWidth="1"/>
    <col min="13600" max="13605" width="9.85546875" style="422" customWidth="1"/>
    <col min="13606" max="13824" width="11.42578125" style="422"/>
    <col min="13825" max="13825" width="2.140625" style="422" customWidth="1"/>
    <col min="13826" max="13832" width="9.85546875" style="422" customWidth="1"/>
    <col min="13833" max="13833" width="11.5703125" style="422" customWidth="1"/>
    <col min="13834" max="13836" width="9.85546875" style="422" customWidth="1"/>
    <col min="13837" max="13837" width="14.85546875" style="422" customWidth="1"/>
    <col min="13838" max="13838" width="10.42578125" style="422" customWidth="1"/>
    <col min="13839" max="13840" width="6.140625" style="422" customWidth="1"/>
    <col min="13841" max="13842" width="9.85546875" style="422" customWidth="1"/>
    <col min="13843" max="13843" width="10.42578125" style="422" customWidth="1"/>
    <col min="13844" max="13844" width="8.140625" style="422" customWidth="1"/>
    <col min="13845" max="13846" width="9.85546875" style="422" customWidth="1"/>
    <col min="13847" max="13847" width="11.85546875" style="422" customWidth="1"/>
    <col min="13848" max="13849" width="9.85546875" style="422" customWidth="1"/>
    <col min="13850" max="13850" width="4" style="422" customWidth="1"/>
    <col min="13851" max="13851" width="4.5703125" style="422" customWidth="1"/>
    <col min="13852" max="13854" width="9.85546875" style="422" customWidth="1"/>
    <col min="13855" max="13855" width="5.140625" style="422" customWidth="1"/>
    <col min="13856" max="13861" width="9.85546875" style="422" customWidth="1"/>
    <col min="13862" max="14080" width="11.42578125" style="422"/>
    <col min="14081" max="14081" width="2.140625" style="422" customWidth="1"/>
    <col min="14082" max="14088" width="9.85546875" style="422" customWidth="1"/>
    <col min="14089" max="14089" width="11.5703125" style="422" customWidth="1"/>
    <col min="14090" max="14092" width="9.85546875" style="422" customWidth="1"/>
    <col min="14093" max="14093" width="14.85546875" style="422" customWidth="1"/>
    <col min="14094" max="14094" width="10.42578125" style="422" customWidth="1"/>
    <col min="14095" max="14096" width="6.140625" style="422" customWidth="1"/>
    <col min="14097" max="14098" width="9.85546875" style="422" customWidth="1"/>
    <col min="14099" max="14099" width="10.42578125" style="422" customWidth="1"/>
    <col min="14100" max="14100" width="8.140625" style="422" customWidth="1"/>
    <col min="14101" max="14102" width="9.85546875" style="422" customWidth="1"/>
    <col min="14103" max="14103" width="11.85546875" style="422" customWidth="1"/>
    <col min="14104" max="14105" width="9.85546875" style="422" customWidth="1"/>
    <col min="14106" max="14106" width="4" style="422" customWidth="1"/>
    <col min="14107" max="14107" width="4.5703125" style="422" customWidth="1"/>
    <col min="14108" max="14110" width="9.85546875" style="422" customWidth="1"/>
    <col min="14111" max="14111" width="5.140625" style="422" customWidth="1"/>
    <col min="14112" max="14117" width="9.85546875" style="422" customWidth="1"/>
    <col min="14118" max="14336" width="11.42578125" style="422"/>
    <col min="14337" max="14337" width="2.140625" style="422" customWidth="1"/>
    <col min="14338" max="14344" width="9.85546875" style="422" customWidth="1"/>
    <col min="14345" max="14345" width="11.5703125" style="422" customWidth="1"/>
    <col min="14346" max="14348" width="9.85546875" style="422" customWidth="1"/>
    <col min="14349" max="14349" width="14.85546875" style="422" customWidth="1"/>
    <col min="14350" max="14350" width="10.42578125" style="422" customWidth="1"/>
    <col min="14351" max="14352" width="6.140625" style="422" customWidth="1"/>
    <col min="14353" max="14354" width="9.85546875" style="422" customWidth="1"/>
    <col min="14355" max="14355" width="10.42578125" style="422" customWidth="1"/>
    <col min="14356" max="14356" width="8.140625" style="422" customWidth="1"/>
    <col min="14357" max="14358" width="9.85546875" style="422" customWidth="1"/>
    <col min="14359" max="14359" width="11.85546875" style="422" customWidth="1"/>
    <col min="14360" max="14361" width="9.85546875" style="422" customWidth="1"/>
    <col min="14362" max="14362" width="4" style="422" customWidth="1"/>
    <col min="14363" max="14363" width="4.5703125" style="422" customWidth="1"/>
    <col min="14364" max="14366" width="9.85546875" style="422" customWidth="1"/>
    <col min="14367" max="14367" width="5.140625" style="422" customWidth="1"/>
    <col min="14368" max="14373" width="9.85546875" style="422" customWidth="1"/>
    <col min="14374" max="14592" width="11.42578125" style="422"/>
    <col min="14593" max="14593" width="2.140625" style="422" customWidth="1"/>
    <col min="14594" max="14600" width="9.85546875" style="422" customWidth="1"/>
    <col min="14601" max="14601" width="11.5703125" style="422" customWidth="1"/>
    <col min="14602" max="14604" width="9.85546875" style="422" customWidth="1"/>
    <col min="14605" max="14605" width="14.85546875" style="422" customWidth="1"/>
    <col min="14606" max="14606" width="10.42578125" style="422" customWidth="1"/>
    <col min="14607" max="14608" width="6.140625" style="422" customWidth="1"/>
    <col min="14609" max="14610" width="9.85546875" style="422" customWidth="1"/>
    <col min="14611" max="14611" width="10.42578125" style="422" customWidth="1"/>
    <col min="14612" max="14612" width="8.140625" style="422" customWidth="1"/>
    <col min="14613" max="14614" width="9.85546875" style="422" customWidth="1"/>
    <col min="14615" max="14615" width="11.85546875" style="422" customWidth="1"/>
    <col min="14616" max="14617" width="9.85546875" style="422" customWidth="1"/>
    <col min="14618" max="14618" width="4" style="422" customWidth="1"/>
    <col min="14619" max="14619" width="4.5703125" style="422" customWidth="1"/>
    <col min="14620" max="14622" width="9.85546875" style="422" customWidth="1"/>
    <col min="14623" max="14623" width="5.140625" style="422" customWidth="1"/>
    <col min="14624" max="14629" width="9.85546875" style="422" customWidth="1"/>
    <col min="14630" max="14848" width="11.42578125" style="422"/>
    <col min="14849" max="14849" width="2.140625" style="422" customWidth="1"/>
    <col min="14850" max="14856" width="9.85546875" style="422" customWidth="1"/>
    <col min="14857" max="14857" width="11.5703125" style="422" customWidth="1"/>
    <col min="14858" max="14860" width="9.85546875" style="422" customWidth="1"/>
    <col min="14861" max="14861" width="14.85546875" style="422" customWidth="1"/>
    <col min="14862" max="14862" width="10.42578125" style="422" customWidth="1"/>
    <col min="14863" max="14864" width="6.140625" style="422" customWidth="1"/>
    <col min="14865" max="14866" width="9.85546875" style="422" customWidth="1"/>
    <col min="14867" max="14867" width="10.42578125" style="422" customWidth="1"/>
    <col min="14868" max="14868" width="8.140625" style="422" customWidth="1"/>
    <col min="14869" max="14870" width="9.85546875" style="422" customWidth="1"/>
    <col min="14871" max="14871" width="11.85546875" style="422" customWidth="1"/>
    <col min="14872" max="14873" width="9.85546875" style="422" customWidth="1"/>
    <col min="14874" max="14874" width="4" style="422" customWidth="1"/>
    <col min="14875" max="14875" width="4.5703125" style="422" customWidth="1"/>
    <col min="14876" max="14878" width="9.85546875" style="422" customWidth="1"/>
    <col min="14879" max="14879" width="5.140625" style="422" customWidth="1"/>
    <col min="14880" max="14885" width="9.85546875" style="422" customWidth="1"/>
    <col min="14886" max="15104" width="11.42578125" style="422"/>
    <col min="15105" max="15105" width="2.140625" style="422" customWidth="1"/>
    <col min="15106" max="15112" width="9.85546875" style="422" customWidth="1"/>
    <col min="15113" max="15113" width="11.5703125" style="422" customWidth="1"/>
    <col min="15114" max="15116" width="9.85546875" style="422" customWidth="1"/>
    <col min="15117" max="15117" width="14.85546875" style="422" customWidth="1"/>
    <col min="15118" max="15118" width="10.42578125" style="422" customWidth="1"/>
    <col min="15119" max="15120" width="6.140625" style="422" customWidth="1"/>
    <col min="15121" max="15122" width="9.85546875" style="422" customWidth="1"/>
    <col min="15123" max="15123" width="10.42578125" style="422" customWidth="1"/>
    <col min="15124" max="15124" width="8.140625" style="422" customWidth="1"/>
    <col min="15125" max="15126" width="9.85546875" style="422" customWidth="1"/>
    <col min="15127" max="15127" width="11.85546875" style="422" customWidth="1"/>
    <col min="15128" max="15129" width="9.85546875" style="422" customWidth="1"/>
    <col min="15130" max="15130" width="4" style="422" customWidth="1"/>
    <col min="15131" max="15131" width="4.5703125" style="422" customWidth="1"/>
    <col min="15132" max="15134" width="9.85546875" style="422" customWidth="1"/>
    <col min="15135" max="15135" width="5.140625" style="422" customWidth="1"/>
    <col min="15136" max="15141" width="9.85546875" style="422" customWidth="1"/>
    <col min="15142" max="15360" width="11.42578125" style="422"/>
    <col min="15361" max="15361" width="2.140625" style="422" customWidth="1"/>
    <col min="15362" max="15368" width="9.85546875" style="422" customWidth="1"/>
    <col min="15369" max="15369" width="11.5703125" style="422" customWidth="1"/>
    <col min="15370" max="15372" width="9.85546875" style="422" customWidth="1"/>
    <col min="15373" max="15373" width="14.85546875" style="422" customWidth="1"/>
    <col min="15374" max="15374" width="10.42578125" style="422" customWidth="1"/>
    <col min="15375" max="15376" width="6.140625" style="422" customWidth="1"/>
    <col min="15377" max="15378" width="9.85546875" style="422" customWidth="1"/>
    <col min="15379" max="15379" width="10.42578125" style="422" customWidth="1"/>
    <col min="15380" max="15380" width="8.140625" style="422" customWidth="1"/>
    <col min="15381" max="15382" width="9.85546875" style="422" customWidth="1"/>
    <col min="15383" max="15383" width="11.85546875" style="422" customWidth="1"/>
    <col min="15384" max="15385" width="9.85546875" style="422" customWidth="1"/>
    <col min="15386" max="15386" width="4" style="422" customWidth="1"/>
    <col min="15387" max="15387" width="4.5703125" style="422" customWidth="1"/>
    <col min="15388" max="15390" width="9.85546875" style="422" customWidth="1"/>
    <col min="15391" max="15391" width="5.140625" style="422" customWidth="1"/>
    <col min="15392" max="15397" width="9.85546875" style="422" customWidth="1"/>
    <col min="15398" max="15616" width="11.42578125" style="422"/>
    <col min="15617" max="15617" width="2.140625" style="422" customWidth="1"/>
    <col min="15618" max="15624" width="9.85546875" style="422" customWidth="1"/>
    <col min="15625" max="15625" width="11.5703125" style="422" customWidth="1"/>
    <col min="15626" max="15628" width="9.85546875" style="422" customWidth="1"/>
    <col min="15629" max="15629" width="14.85546875" style="422" customWidth="1"/>
    <col min="15630" max="15630" width="10.42578125" style="422" customWidth="1"/>
    <col min="15631" max="15632" width="6.140625" style="422" customWidth="1"/>
    <col min="15633" max="15634" width="9.85546875" style="422" customWidth="1"/>
    <col min="15635" max="15635" width="10.42578125" style="422" customWidth="1"/>
    <col min="15636" max="15636" width="8.140625" style="422" customWidth="1"/>
    <col min="15637" max="15638" width="9.85546875" style="422" customWidth="1"/>
    <col min="15639" max="15639" width="11.85546875" style="422" customWidth="1"/>
    <col min="15640" max="15641" width="9.85546875" style="422" customWidth="1"/>
    <col min="15642" max="15642" width="4" style="422" customWidth="1"/>
    <col min="15643" max="15643" width="4.5703125" style="422" customWidth="1"/>
    <col min="15644" max="15646" width="9.85546875" style="422" customWidth="1"/>
    <col min="15647" max="15647" width="5.140625" style="422" customWidth="1"/>
    <col min="15648" max="15653" width="9.85546875" style="422" customWidth="1"/>
    <col min="15654" max="15872" width="11.42578125" style="422"/>
    <col min="15873" max="15873" width="2.140625" style="422" customWidth="1"/>
    <col min="15874" max="15880" width="9.85546875" style="422" customWidth="1"/>
    <col min="15881" max="15881" width="11.5703125" style="422" customWidth="1"/>
    <col min="15882" max="15884" width="9.85546875" style="422" customWidth="1"/>
    <col min="15885" max="15885" width="14.85546875" style="422" customWidth="1"/>
    <col min="15886" max="15886" width="10.42578125" style="422" customWidth="1"/>
    <col min="15887" max="15888" width="6.140625" style="422" customWidth="1"/>
    <col min="15889" max="15890" width="9.85546875" style="422" customWidth="1"/>
    <col min="15891" max="15891" width="10.42578125" style="422" customWidth="1"/>
    <col min="15892" max="15892" width="8.140625" style="422" customWidth="1"/>
    <col min="15893" max="15894" width="9.85546875" style="422" customWidth="1"/>
    <col min="15895" max="15895" width="11.85546875" style="422" customWidth="1"/>
    <col min="15896" max="15897" width="9.85546875" style="422" customWidth="1"/>
    <col min="15898" max="15898" width="4" style="422" customWidth="1"/>
    <col min="15899" max="15899" width="4.5703125" style="422" customWidth="1"/>
    <col min="15900" max="15902" width="9.85546875" style="422" customWidth="1"/>
    <col min="15903" max="15903" width="5.140625" style="422" customWidth="1"/>
    <col min="15904" max="15909" width="9.85546875" style="422" customWidth="1"/>
    <col min="15910" max="16128" width="11.42578125" style="422"/>
    <col min="16129" max="16129" width="2.140625" style="422" customWidth="1"/>
    <col min="16130" max="16136" width="9.85546875" style="422" customWidth="1"/>
    <col min="16137" max="16137" width="11.5703125" style="422" customWidth="1"/>
    <col min="16138" max="16140" width="9.85546875" style="422" customWidth="1"/>
    <col min="16141" max="16141" width="14.85546875" style="422" customWidth="1"/>
    <col min="16142" max="16142" width="10.42578125" style="422" customWidth="1"/>
    <col min="16143" max="16144" width="6.140625" style="422" customWidth="1"/>
    <col min="16145" max="16146" width="9.85546875" style="422" customWidth="1"/>
    <col min="16147" max="16147" width="10.42578125" style="422" customWidth="1"/>
    <col min="16148" max="16148" width="8.140625" style="422" customWidth="1"/>
    <col min="16149" max="16150" width="9.85546875" style="422" customWidth="1"/>
    <col min="16151" max="16151" width="11.85546875" style="422" customWidth="1"/>
    <col min="16152" max="16153" width="9.85546875" style="422" customWidth="1"/>
    <col min="16154" max="16154" width="4" style="422" customWidth="1"/>
    <col min="16155" max="16155" width="4.5703125" style="422" customWidth="1"/>
    <col min="16156" max="16158" width="9.85546875" style="422" customWidth="1"/>
    <col min="16159" max="16159" width="5.140625" style="422" customWidth="1"/>
    <col min="16160" max="16165" width="9.85546875" style="422" customWidth="1"/>
    <col min="16166" max="16384" width="11.42578125" style="422"/>
  </cols>
  <sheetData>
    <row r="1" spans="1:36" ht="13.5" thickTop="1">
      <c r="A1" s="445"/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7"/>
    </row>
    <row r="2" spans="1:36" ht="20.25">
      <c r="A2" s="448"/>
      <c r="B2" s="449" t="s">
        <v>4355</v>
      </c>
      <c r="C2" s="421"/>
      <c r="D2" s="421"/>
      <c r="AJ2" s="450"/>
    </row>
    <row r="3" spans="1:36" ht="21" thickBot="1">
      <c r="A3" s="448"/>
      <c r="B3" s="449" t="s">
        <v>29</v>
      </c>
      <c r="C3" s="421"/>
      <c r="D3" s="421"/>
      <c r="AJ3" s="450"/>
    </row>
    <row r="4" spans="1:36" ht="20.25">
      <c r="A4" s="448"/>
      <c r="B4" s="451" t="s">
        <v>4356</v>
      </c>
      <c r="C4" s="421"/>
      <c r="D4" s="421"/>
      <c r="M4" s="554" t="s">
        <v>4357</v>
      </c>
      <c r="N4" s="555"/>
      <c r="O4" s="555"/>
      <c r="P4" s="556"/>
      <c r="AJ4" s="450"/>
    </row>
    <row r="5" spans="1:36">
      <c r="A5" s="448"/>
      <c r="M5" s="557"/>
      <c r="N5" s="558"/>
      <c r="O5" s="558"/>
      <c r="P5" s="559"/>
      <c r="AJ5" s="450"/>
    </row>
    <row r="6" spans="1:36">
      <c r="A6" s="448"/>
      <c r="M6" s="557"/>
      <c r="N6" s="558"/>
      <c r="O6" s="558"/>
      <c r="P6" s="559"/>
      <c r="AJ6" s="450"/>
    </row>
    <row r="7" spans="1:36" ht="13.5" thickBot="1">
      <c r="A7" s="448"/>
      <c r="M7" s="560"/>
      <c r="N7" s="561"/>
      <c r="O7" s="561"/>
      <c r="P7" s="562"/>
      <c r="AJ7" s="450"/>
    </row>
    <row r="8" spans="1:36">
      <c r="A8" s="448"/>
      <c r="N8" s="452"/>
      <c r="AJ8" s="450"/>
    </row>
    <row r="9" spans="1:36">
      <c r="A9" s="448"/>
      <c r="N9" s="453"/>
      <c r="AJ9" s="450"/>
    </row>
    <row r="10" spans="1:36">
      <c r="A10" s="448"/>
      <c r="N10" s="453"/>
      <c r="AJ10" s="450"/>
    </row>
    <row r="11" spans="1:36">
      <c r="A11" s="448"/>
      <c r="N11" s="453"/>
      <c r="AJ11" s="450"/>
    </row>
    <row r="12" spans="1:36">
      <c r="A12" s="448"/>
      <c r="N12" s="453"/>
      <c r="AJ12" s="450"/>
    </row>
    <row r="13" spans="1:36" ht="13.5" thickBot="1">
      <c r="A13" s="448"/>
      <c r="M13" s="454"/>
      <c r="N13" s="455"/>
      <c r="AJ13" s="450"/>
    </row>
    <row r="14" spans="1:36" ht="15.75" customHeight="1">
      <c r="A14" s="448"/>
      <c r="M14" s="563" t="s">
        <v>4358</v>
      </c>
      <c r="N14" s="564"/>
      <c r="O14" s="564"/>
      <c r="P14" s="565"/>
      <c r="Q14" s="454"/>
      <c r="AJ14" s="450"/>
    </row>
    <row r="15" spans="1:36" ht="23.45" customHeight="1" thickBot="1">
      <c r="A15" s="448"/>
      <c r="E15" s="456"/>
      <c r="F15" s="456"/>
      <c r="G15" s="457" t="s">
        <v>4359</v>
      </c>
      <c r="H15" s="456"/>
      <c r="I15" s="456"/>
      <c r="J15" s="456"/>
      <c r="K15" s="456"/>
      <c r="L15" s="456"/>
      <c r="M15" s="566"/>
      <c r="N15" s="567"/>
      <c r="O15" s="567"/>
      <c r="P15" s="568"/>
      <c r="R15" s="458"/>
      <c r="S15" s="458"/>
      <c r="AJ15" s="450"/>
    </row>
    <row r="16" spans="1:36" ht="12.75" customHeight="1">
      <c r="A16" s="448"/>
      <c r="E16" s="459"/>
      <c r="M16" s="566"/>
      <c r="N16" s="567"/>
      <c r="O16" s="567"/>
      <c r="P16" s="568"/>
      <c r="R16" s="458"/>
      <c r="S16" s="458"/>
      <c r="AJ16" s="450"/>
    </row>
    <row r="17" spans="1:36" ht="13.5" customHeight="1" thickBot="1">
      <c r="A17" s="448"/>
      <c r="E17" s="460"/>
      <c r="M17" s="569"/>
      <c r="N17" s="570"/>
      <c r="O17" s="570"/>
      <c r="P17" s="571"/>
      <c r="AJ17" s="450"/>
    </row>
    <row r="18" spans="1:36" ht="12.95" customHeight="1">
      <c r="A18" s="448"/>
      <c r="B18" s="572" t="s">
        <v>4360</v>
      </c>
      <c r="C18" s="573"/>
      <c r="D18" s="573"/>
      <c r="E18" s="574"/>
      <c r="F18" s="458"/>
      <c r="O18" s="459"/>
      <c r="AJ18" s="450"/>
    </row>
    <row r="19" spans="1:36" ht="13.5" thickBot="1">
      <c r="A19" s="448"/>
      <c r="B19" s="575"/>
      <c r="C19" s="576"/>
      <c r="D19" s="576"/>
      <c r="E19" s="577"/>
      <c r="F19" s="458"/>
      <c r="O19" s="460"/>
      <c r="P19" s="454"/>
      <c r="AJ19" s="450"/>
    </row>
    <row r="20" spans="1:36" ht="19.5" customHeight="1" thickBot="1">
      <c r="A20" s="448"/>
      <c r="B20" s="461"/>
      <c r="I20" s="578" t="s">
        <v>4361</v>
      </c>
      <c r="J20" s="579"/>
      <c r="K20" s="579"/>
      <c r="L20" s="580"/>
      <c r="M20" s="462"/>
      <c r="N20" s="455"/>
      <c r="O20" s="463"/>
      <c r="P20" s="578" t="s">
        <v>4362</v>
      </c>
      <c r="Q20" s="579"/>
      <c r="R20" s="579"/>
      <c r="S20" s="580"/>
      <c r="AJ20" s="450"/>
    </row>
    <row r="21" spans="1:36" ht="20.100000000000001" customHeight="1" thickBot="1">
      <c r="A21" s="448"/>
      <c r="B21" s="464"/>
      <c r="I21" s="581"/>
      <c r="J21" s="582"/>
      <c r="K21" s="582"/>
      <c r="L21" s="583"/>
      <c r="O21" s="460"/>
      <c r="P21" s="581"/>
      <c r="Q21" s="582"/>
      <c r="R21" s="582"/>
      <c r="S21" s="583"/>
      <c r="AJ21" s="450"/>
    </row>
    <row r="22" spans="1:36" ht="12.95" customHeight="1" thickBot="1">
      <c r="A22" s="448"/>
      <c r="B22" s="465"/>
      <c r="C22" s="572" t="s">
        <v>4363</v>
      </c>
      <c r="D22" s="573"/>
      <c r="E22" s="573"/>
      <c r="F22" s="574"/>
      <c r="O22" s="460"/>
      <c r="R22" s="459"/>
      <c r="AJ22" s="450"/>
    </row>
    <row r="23" spans="1:36" ht="13.5" thickBot="1">
      <c r="A23" s="448"/>
      <c r="B23" s="466"/>
      <c r="C23" s="575"/>
      <c r="D23" s="576"/>
      <c r="E23" s="576"/>
      <c r="F23" s="577"/>
      <c r="O23" s="460"/>
      <c r="P23" s="584" t="s">
        <v>4364</v>
      </c>
      <c r="Q23" s="585"/>
      <c r="R23" s="585"/>
      <c r="S23" s="586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J23" s="450"/>
    </row>
    <row r="24" spans="1:36" ht="13.5" thickBot="1">
      <c r="A24" s="448"/>
      <c r="B24" s="464"/>
      <c r="C24" s="464"/>
      <c r="O24" s="460"/>
      <c r="P24" s="587"/>
      <c r="Q24" s="588"/>
      <c r="R24" s="588"/>
      <c r="S24" s="589"/>
      <c r="AJ24" s="450"/>
    </row>
    <row r="25" spans="1:36" ht="13.5" thickBot="1">
      <c r="A25" s="448"/>
      <c r="B25" s="464"/>
      <c r="C25" s="467"/>
      <c r="D25" s="572" t="s">
        <v>4365</v>
      </c>
      <c r="E25" s="573"/>
      <c r="F25" s="574"/>
      <c r="O25" s="460"/>
      <c r="Q25" s="468"/>
      <c r="AJ25" s="450"/>
    </row>
    <row r="26" spans="1:36" ht="13.5" thickBot="1">
      <c r="A26" s="448"/>
      <c r="B26" s="464"/>
      <c r="C26" s="466"/>
      <c r="D26" s="575"/>
      <c r="E26" s="576"/>
      <c r="F26" s="577"/>
      <c r="O26" s="460"/>
      <c r="P26" s="572" t="s">
        <v>4366</v>
      </c>
      <c r="Q26" s="573"/>
      <c r="R26" s="573"/>
      <c r="S26" s="574"/>
      <c r="AJ26" s="450"/>
    </row>
    <row r="27" spans="1:36" ht="13.5" thickBot="1">
      <c r="A27" s="448"/>
      <c r="B27" s="464"/>
      <c r="C27" s="464"/>
      <c r="O27" s="460"/>
      <c r="P27" s="575"/>
      <c r="Q27" s="576"/>
      <c r="R27" s="576"/>
      <c r="S27" s="577"/>
      <c r="AJ27" s="450"/>
    </row>
    <row r="28" spans="1:36" ht="13.5" thickBot="1">
      <c r="A28" s="448"/>
      <c r="B28" s="464"/>
      <c r="C28" s="465"/>
      <c r="D28" s="572" t="s">
        <v>4367</v>
      </c>
      <c r="E28" s="573"/>
      <c r="F28" s="574"/>
      <c r="O28" s="460"/>
      <c r="Q28" s="468"/>
      <c r="AJ28" s="450"/>
    </row>
    <row r="29" spans="1:36" ht="13.5" thickBot="1">
      <c r="A29" s="448"/>
      <c r="B29" s="464"/>
      <c r="D29" s="575"/>
      <c r="E29" s="576"/>
      <c r="F29" s="577"/>
      <c r="O29" s="460"/>
      <c r="P29" s="590" t="s">
        <v>4368</v>
      </c>
      <c r="Q29" s="591"/>
      <c r="R29" s="591"/>
      <c r="S29" s="592"/>
      <c r="AJ29" s="450"/>
    </row>
    <row r="30" spans="1:36" ht="13.5" thickBot="1">
      <c r="A30" s="448"/>
      <c r="B30" s="464"/>
      <c r="O30" s="460"/>
      <c r="P30" s="593"/>
      <c r="Q30" s="594"/>
      <c r="R30" s="594"/>
      <c r="S30" s="595"/>
      <c r="AJ30" s="450"/>
    </row>
    <row r="31" spans="1:36" ht="12.95" customHeight="1">
      <c r="A31" s="448"/>
      <c r="B31" s="465"/>
      <c r="C31" s="572" t="s">
        <v>4369</v>
      </c>
      <c r="D31" s="573"/>
      <c r="E31" s="573"/>
      <c r="F31" s="574"/>
      <c r="O31" s="460"/>
      <c r="AJ31" s="450"/>
    </row>
    <row r="32" spans="1:36" ht="12.6" customHeight="1" thickBot="1">
      <c r="A32" s="448"/>
      <c r="B32" s="466"/>
      <c r="C32" s="575"/>
      <c r="D32" s="576"/>
      <c r="E32" s="576"/>
      <c r="F32" s="577"/>
      <c r="O32" s="460"/>
      <c r="AJ32" s="450"/>
    </row>
    <row r="33" spans="1:36">
      <c r="A33" s="448"/>
      <c r="B33" s="464"/>
      <c r="O33" s="460"/>
      <c r="AJ33" s="450"/>
    </row>
    <row r="34" spans="1:36" ht="13.5" thickBot="1">
      <c r="A34" s="448"/>
      <c r="B34" s="465"/>
      <c r="C34" s="548" t="s">
        <v>4370</v>
      </c>
      <c r="D34" s="549"/>
      <c r="E34" s="549"/>
      <c r="F34" s="550"/>
      <c r="J34" s="456"/>
      <c r="K34" s="456"/>
      <c r="L34" s="456"/>
      <c r="M34" s="456"/>
      <c r="N34" s="456"/>
      <c r="O34" s="462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  <c r="AG34" s="456"/>
      <c r="AH34" s="456"/>
      <c r="AJ34" s="450"/>
    </row>
    <row r="35" spans="1:36">
      <c r="A35" s="448"/>
      <c r="B35" s="466"/>
      <c r="C35" s="551"/>
      <c r="D35" s="552"/>
      <c r="E35" s="552"/>
      <c r="F35" s="553"/>
      <c r="I35" s="453"/>
      <c r="K35" s="469"/>
      <c r="L35" s="469"/>
      <c r="M35" s="469"/>
      <c r="N35" s="469"/>
      <c r="O35" s="459"/>
      <c r="P35" s="469"/>
      <c r="Q35" s="469"/>
      <c r="R35" s="469"/>
      <c r="S35" s="459"/>
      <c r="W35" s="452"/>
      <c r="AC35" s="452"/>
      <c r="AI35" s="460"/>
      <c r="AJ35" s="450"/>
    </row>
    <row r="36" spans="1:36" ht="13.5" thickBot="1">
      <c r="A36" s="448"/>
      <c r="B36" s="464"/>
      <c r="D36" s="458"/>
      <c r="E36" s="458"/>
      <c r="F36" s="458"/>
      <c r="I36" s="455"/>
      <c r="L36" s="454"/>
      <c r="O36" s="462"/>
      <c r="Q36" s="454"/>
      <c r="R36" s="456"/>
      <c r="S36" s="462"/>
      <c r="W36" s="455"/>
      <c r="AC36" s="470"/>
      <c r="AI36" s="460"/>
      <c r="AJ36" s="450"/>
    </row>
    <row r="37" spans="1:36" ht="12.95" customHeight="1">
      <c r="A37" s="448"/>
      <c r="B37" s="465"/>
      <c r="C37" s="548" t="s">
        <v>4371</v>
      </c>
      <c r="D37" s="549"/>
      <c r="E37" s="549"/>
      <c r="F37" s="550"/>
      <c r="H37" s="596" t="s">
        <v>4372</v>
      </c>
      <c r="I37" s="597"/>
      <c r="J37" s="598"/>
      <c r="L37" s="596" t="s">
        <v>4373</v>
      </c>
      <c r="M37" s="597"/>
      <c r="N37" s="597"/>
      <c r="O37" s="598"/>
      <c r="Q37" s="596" t="s">
        <v>4374</v>
      </c>
      <c r="R37" s="597"/>
      <c r="S37" s="597"/>
      <c r="T37" s="598"/>
      <c r="V37" s="596" t="s">
        <v>4375</v>
      </c>
      <c r="W37" s="597"/>
      <c r="X37" s="597"/>
      <c r="Y37" s="598"/>
      <c r="AB37" s="602" t="s">
        <v>4376</v>
      </c>
      <c r="AC37" s="606"/>
      <c r="AD37" s="603"/>
      <c r="AF37" s="596" t="s">
        <v>4377</v>
      </c>
      <c r="AG37" s="597"/>
      <c r="AH37" s="597"/>
      <c r="AI37" s="598"/>
      <c r="AJ37" s="450"/>
    </row>
    <row r="38" spans="1:36" ht="21.6" customHeight="1" thickBot="1">
      <c r="A38" s="448"/>
      <c r="B38" s="466"/>
      <c r="C38" s="551"/>
      <c r="D38" s="552"/>
      <c r="E38" s="552"/>
      <c r="F38" s="553"/>
      <c r="H38" s="599"/>
      <c r="I38" s="600"/>
      <c r="J38" s="601"/>
      <c r="L38" s="599"/>
      <c r="M38" s="600"/>
      <c r="N38" s="600"/>
      <c r="O38" s="601"/>
      <c r="Q38" s="599"/>
      <c r="R38" s="600"/>
      <c r="S38" s="600"/>
      <c r="T38" s="601"/>
      <c r="V38" s="599"/>
      <c r="W38" s="600"/>
      <c r="X38" s="600"/>
      <c r="Y38" s="601"/>
      <c r="AB38" s="604"/>
      <c r="AC38" s="607"/>
      <c r="AD38" s="605"/>
      <c r="AF38" s="599"/>
      <c r="AG38" s="600"/>
      <c r="AH38" s="600"/>
      <c r="AI38" s="601"/>
      <c r="AJ38" s="450"/>
    </row>
    <row r="39" spans="1:36">
      <c r="A39" s="448"/>
      <c r="B39" s="464"/>
      <c r="D39" s="458"/>
      <c r="E39" s="458"/>
      <c r="F39" s="458"/>
      <c r="H39" s="461"/>
      <c r="L39" s="461"/>
      <c r="O39" s="461"/>
      <c r="Q39" s="461"/>
      <c r="R39" s="469"/>
      <c r="S39" s="469"/>
      <c r="T39" s="469"/>
      <c r="V39" s="461"/>
      <c r="X39" s="464"/>
      <c r="AB39" s="466"/>
      <c r="AF39" s="461"/>
      <c r="AJ39" s="450"/>
    </row>
    <row r="40" spans="1:36">
      <c r="A40" s="448"/>
      <c r="B40" s="465"/>
      <c r="C40" s="548" t="s">
        <v>4378</v>
      </c>
      <c r="D40" s="549"/>
      <c r="E40" s="549"/>
      <c r="F40" s="550"/>
      <c r="H40" s="464"/>
      <c r="L40" s="464"/>
      <c r="O40" s="465"/>
      <c r="Q40" s="464"/>
      <c r="R40" s="471"/>
      <c r="S40" s="471"/>
      <c r="T40" s="471"/>
      <c r="V40" s="464"/>
      <c r="X40" s="464"/>
      <c r="AB40" s="464"/>
      <c r="AF40" s="464"/>
      <c r="AJ40" s="450"/>
    </row>
    <row r="41" spans="1:36" ht="19.5" customHeight="1">
      <c r="A41" s="448"/>
      <c r="B41" s="466"/>
      <c r="C41" s="551"/>
      <c r="D41" s="552"/>
      <c r="E41" s="552"/>
      <c r="F41" s="553"/>
      <c r="H41" s="465"/>
      <c r="I41" s="602" t="s">
        <v>4379</v>
      </c>
      <c r="J41" s="603"/>
      <c r="L41" s="464"/>
      <c r="M41" s="602" t="s">
        <v>4380</v>
      </c>
      <c r="N41" s="606"/>
      <c r="O41" s="603"/>
      <c r="Q41" s="472"/>
      <c r="R41" s="608" t="s">
        <v>4381</v>
      </c>
      <c r="S41" s="609"/>
      <c r="T41" s="610"/>
      <c r="V41" s="473"/>
      <c r="W41" s="614" t="s">
        <v>3907</v>
      </c>
      <c r="X41" s="615"/>
      <c r="Y41" s="616"/>
      <c r="AB41" s="472"/>
      <c r="AC41" s="608" t="s">
        <v>4382</v>
      </c>
      <c r="AD41" s="610"/>
      <c r="AF41" s="465"/>
      <c r="AG41" s="602" t="s">
        <v>4383</v>
      </c>
      <c r="AH41" s="606"/>
      <c r="AI41" s="603"/>
      <c r="AJ41" s="450"/>
    </row>
    <row r="42" spans="1:36" ht="12.6" customHeight="1">
      <c r="A42" s="448"/>
      <c r="B42" s="464"/>
      <c r="D42" s="458"/>
      <c r="E42" s="458"/>
      <c r="F42" s="458"/>
      <c r="H42" s="474"/>
      <c r="I42" s="604"/>
      <c r="J42" s="605"/>
      <c r="L42" s="464"/>
      <c r="M42" s="604"/>
      <c r="N42" s="607"/>
      <c r="O42" s="605"/>
      <c r="Q42" s="464"/>
      <c r="R42" s="611"/>
      <c r="S42" s="612"/>
      <c r="T42" s="613"/>
      <c r="V42" s="464"/>
      <c r="W42" s="617"/>
      <c r="X42" s="618"/>
      <c r="Y42" s="619"/>
      <c r="AB42" s="464"/>
      <c r="AC42" s="611"/>
      <c r="AD42" s="613"/>
      <c r="AF42" s="475"/>
      <c r="AG42" s="604"/>
      <c r="AH42" s="607"/>
      <c r="AI42" s="605"/>
      <c r="AJ42" s="450"/>
    </row>
    <row r="43" spans="1:36">
      <c r="A43" s="448"/>
      <c r="B43" s="465"/>
      <c r="C43" s="548" t="s">
        <v>4384</v>
      </c>
      <c r="D43" s="549"/>
      <c r="E43" s="549"/>
      <c r="F43" s="550"/>
      <c r="L43" s="464"/>
      <c r="N43" s="476"/>
      <c r="Q43" s="464"/>
      <c r="V43" s="477"/>
      <c r="W43" s="476"/>
      <c r="AB43" s="464"/>
      <c r="AJ43" s="450"/>
    </row>
    <row r="44" spans="1:36" ht="12.95" customHeight="1">
      <c r="A44" s="448"/>
      <c r="C44" s="551"/>
      <c r="D44" s="552"/>
      <c r="E44" s="552"/>
      <c r="F44" s="553"/>
      <c r="L44" s="472"/>
      <c r="M44" s="608" t="s">
        <v>4385</v>
      </c>
      <c r="N44" s="609"/>
      <c r="O44" s="610"/>
      <c r="Q44" s="472"/>
      <c r="R44" s="614" t="s">
        <v>4386</v>
      </c>
      <c r="S44" s="615"/>
      <c r="T44" s="616"/>
      <c r="V44" s="465"/>
      <c r="W44" s="620" t="s">
        <v>3893</v>
      </c>
      <c r="X44" s="621"/>
      <c r="Y44" s="622"/>
      <c r="AB44" s="472"/>
      <c r="AC44" s="614" t="s">
        <v>4382</v>
      </c>
      <c r="AD44" s="616"/>
      <c r="AJ44" s="450"/>
    </row>
    <row r="45" spans="1:36" ht="12.95" customHeight="1">
      <c r="A45" s="448"/>
      <c r="D45" s="458"/>
      <c r="E45" s="458"/>
      <c r="F45" s="458"/>
      <c r="L45" s="473"/>
      <c r="M45" s="611"/>
      <c r="N45" s="612"/>
      <c r="O45" s="613"/>
      <c r="Q45" s="478"/>
      <c r="R45" s="617"/>
      <c r="S45" s="618"/>
      <c r="T45" s="619"/>
      <c r="V45" s="466"/>
      <c r="W45" s="623"/>
      <c r="X45" s="624"/>
      <c r="Y45" s="625"/>
      <c r="AB45" s="464"/>
      <c r="AC45" s="617"/>
      <c r="AD45" s="619"/>
      <c r="AJ45" s="450"/>
    </row>
    <row r="46" spans="1:36">
      <c r="A46" s="448"/>
      <c r="D46" s="458"/>
      <c r="E46" s="458"/>
      <c r="F46" s="458"/>
      <c r="L46" s="464"/>
      <c r="Q46" s="464"/>
      <c r="V46" s="464"/>
      <c r="W46" s="454"/>
      <c r="AB46" s="464"/>
      <c r="AJ46" s="450"/>
    </row>
    <row r="47" spans="1:36" ht="12.95" customHeight="1">
      <c r="A47" s="448"/>
      <c r="D47" s="458"/>
      <c r="E47" s="458"/>
      <c r="F47" s="458"/>
      <c r="L47" s="465"/>
      <c r="M47" s="620" t="s">
        <v>4387</v>
      </c>
      <c r="N47" s="621"/>
      <c r="O47" s="622"/>
      <c r="Q47" s="472"/>
      <c r="R47" s="608" t="s">
        <v>3922</v>
      </c>
      <c r="S47" s="609"/>
      <c r="T47" s="610"/>
      <c r="V47" s="465"/>
      <c r="W47" s="602" t="s">
        <v>4388</v>
      </c>
      <c r="X47" s="606"/>
      <c r="Y47" s="603"/>
      <c r="AB47" s="465"/>
      <c r="AC47" s="614" t="s">
        <v>4382</v>
      </c>
      <c r="AD47" s="616"/>
      <c r="AJ47" s="450"/>
    </row>
    <row r="48" spans="1:36" ht="21.6" customHeight="1">
      <c r="A48" s="448"/>
      <c r="D48" s="458"/>
      <c r="E48" s="458"/>
      <c r="F48" s="458"/>
      <c r="L48" s="464"/>
      <c r="M48" s="623"/>
      <c r="N48" s="624"/>
      <c r="O48" s="625"/>
      <c r="Q48" s="474"/>
      <c r="R48" s="611"/>
      <c r="S48" s="612"/>
      <c r="T48" s="613"/>
      <c r="V48" s="475"/>
      <c r="W48" s="604"/>
      <c r="X48" s="607"/>
      <c r="Y48" s="605"/>
      <c r="AB48" s="475"/>
      <c r="AC48" s="617"/>
      <c r="AD48" s="619"/>
      <c r="AJ48" s="450"/>
    </row>
    <row r="49" spans="1:36">
      <c r="A49" s="448"/>
      <c r="D49" s="458"/>
      <c r="E49" s="458"/>
      <c r="F49" s="458"/>
      <c r="L49" s="464"/>
      <c r="M49" s="479"/>
      <c r="N49" s="479"/>
      <c r="O49" s="432"/>
      <c r="AJ49" s="450"/>
    </row>
    <row r="50" spans="1:36" ht="12.95" customHeight="1">
      <c r="A50" s="448"/>
      <c r="D50" s="458"/>
      <c r="E50" s="458"/>
      <c r="F50" s="458"/>
      <c r="L50" s="473"/>
      <c r="M50" s="614" t="s">
        <v>4389</v>
      </c>
      <c r="N50" s="615"/>
      <c r="O50" s="616"/>
      <c r="R50" s="628"/>
      <c r="S50" s="628"/>
      <c r="T50" s="628"/>
      <c r="AJ50" s="450"/>
    </row>
    <row r="51" spans="1:36" ht="18.95" customHeight="1">
      <c r="A51" s="448"/>
      <c r="D51" s="458"/>
      <c r="E51" s="458"/>
      <c r="F51" s="458"/>
      <c r="L51" s="464"/>
      <c r="M51" s="617"/>
      <c r="N51" s="618"/>
      <c r="O51" s="619"/>
      <c r="R51" s="628"/>
      <c r="S51" s="628"/>
      <c r="T51" s="628"/>
      <c r="AJ51" s="450"/>
    </row>
    <row r="52" spans="1:36">
      <c r="A52" s="448"/>
      <c r="D52" s="458"/>
      <c r="E52" s="458"/>
      <c r="F52" s="458"/>
      <c r="L52" s="464"/>
      <c r="M52" s="480"/>
      <c r="N52" s="433"/>
      <c r="O52" s="433"/>
      <c r="AJ52" s="450"/>
    </row>
    <row r="53" spans="1:36" ht="12.95" customHeight="1">
      <c r="A53" s="448"/>
      <c r="D53" s="458"/>
      <c r="E53" s="458"/>
      <c r="F53" s="458"/>
      <c r="I53" s="629"/>
      <c r="J53" s="629"/>
      <c r="L53" s="465"/>
      <c r="M53" s="602" t="s">
        <v>4390</v>
      </c>
      <c r="N53" s="606"/>
      <c r="O53" s="603"/>
      <c r="AJ53" s="450"/>
    </row>
    <row r="54" spans="1:36" ht="20.100000000000001" customHeight="1">
      <c r="A54" s="448"/>
      <c r="D54" s="458"/>
      <c r="E54" s="458"/>
      <c r="F54" s="458"/>
      <c r="I54" s="629"/>
      <c r="J54" s="629"/>
      <c r="L54" s="466"/>
      <c r="M54" s="604"/>
      <c r="N54" s="607"/>
      <c r="O54" s="605"/>
      <c r="AJ54" s="450"/>
    </row>
    <row r="55" spans="1:36" ht="14.25" customHeight="1">
      <c r="A55" s="448"/>
      <c r="D55" s="458"/>
      <c r="E55" s="458"/>
      <c r="F55" s="458"/>
      <c r="L55" s="464"/>
      <c r="M55" s="479"/>
      <c r="N55" s="479"/>
      <c r="O55" s="432"/>
      <c r="AJ55" s="450"/>
    </row>
    <row r="56" spans="1:36" ht="12.95" customHeight="1" thickBot="1">
      <c r="A56" s="448"/>
      <c r="L56" s="473"/>
      <c r="M56" s="608" t="s">
        <v>4391</v>
      </c>
      <c r="N56" s="609"/>
      <c r="O56" s="610"/>
      <c r="AJ56" s="450"/>
    </row>
    <row r="57" spans="1:36" ht="12.6" customHeight="1" thickBot="1">
      <c r="A57" s="448"/>
      <c r="C57" s="481"/>
      <c r="D57" s="482"/>
      <c r="E57" s="483" t="s">
        <v>4392</v>
      </c>
      <c r="L57" s="464"/>
      <c r="M57" s="611"/>
      <c r="N57" s="612"/>
      <c r="O57" s="613"/>
      <c r="AJ57" s="450"/>
    </row>
    <row r="58" spans="1:36" ht="12.95" customHeight="1" thickBot="1">
      <c r="A58" s="448"/>
      <c r="E58" s="483"/>
      <c r="L58" s="464"/>
      <c r="M58" s="479"/>
      <c r="N58" s="479"/>
      <c r="O58" s="479"/>
      <c r="AJ58" s="450"/>
    </row>
    <row r="59" spans="1:36" ht="12.95" customHeight="1" thickBot="1">
      <c r="A59" s="448"/>
      <c r="C59" s="484"/>
      <c r="D59" s="485"/>
      <c r="E59" s="483" t="s">
        <v>4393</v>
      </c>
      <c r="L59" s="465"/>
      <c r="M59" s="620" t="s">
        <v>3889</v>
      </c>
      <c r="N59" s="621"/>
      <c r="O59" s="622"/>
      <c r="AJ59" s="450"/>
    </row>
    <row r="60" spans="1:36" ht="15.95" customHeight="1" thickBot="1">
      <c r="A60" s="448"/>
      <c r="E60" s="483"/>
      <c r="L60" s="464"/>
      <c r="M60" s="623"/>
      <c r="N60" s="624"/>
      <c r="O60" s="625"/>
      <c r="AJ60" s="450"/>
    </row>
    <row r="61" spans="1:36" ht="13.5" thickBot="1">
      <c r="A61" s="448"/>
      <c r="C61" s="486"/>
      <c r="D61" s="468"/>
      <c r="E61" s="483" t="s">
        <v>4394</v>
      </c>
      <c r="H61" s="629"/>
      <c r="I61" s="629"/>
      <c r="L61" s="464"/>
      <c r="M61" s="479"/>
      <c r="N61" s="479"/>
      <c r="O61" s="432"/>
      <c r="AJ61" s="450"/>
    </row>
    <row r="62" spans="1:36" ht="12.95" customHeight="1" thickBot="1">
      <c r="A62" s="448"/>
      <c r="L62" s="473"/>
      <c r="M62" s="608" t="s">
        <v>4395</v>
      </c>
      <c r="N62" s="609"/>
      <c r="O62" s="610"/>
      <c r="AJ62" s="450"/>
    </row>
    <row r="63" spans="1:36" ht="13.5" thickBot="1">
      <c r="A63" s="448"/>
      <c r="C63" s="626"/>
      <c r="D63" s="627"/>
      <c r="E63" s="483" t="s">
        <v>4396</v>
      </c>
      <c r="L63" s="464"/>
      <c r="M63" s="611"/>
      <c r="N63" s="612"/>
      <c r="O63" s="613"/>
      <c r="AJ63" s="450"/>
    </row>
    <row r="64" spans="1:36">
      <c r="A64" s="448"/>
      <c r="L64" s="464"/>
      <c r="M64" s="479"/>
      <c r="N64" s="433"/>
      <c r="O64" s="433"/>
      <c r="AJ64" s="450"/>
    </row>
    <row r="65" spans="1:36" ht="16.5" customHeight="1">
      <c r="A65" s="448"/>
      <c r="L65" s="465"/>
      <c r="M65" s="608" t="s">
        <v>4397</v>
      </c>
      <c r="N65" s="609"/>
      <c r="O65" s="610"/>
      <c r="AJ65" s="450"/>
    </row>
    <row r="66" spans="1:36" ht="14.1" customHeight="1">
      <c r="A66" s="448"/>
      <c r="M66" s="611"/>
      <c r="N66" s="612"/>
      <c r="O66" s="613"/>
      <c r="AJ66" s="450"/>
    </row>
    <row r="67" spans="1:36">
      <c r="A67" s="448"/>
      <c r="M67" s="479"/>
      <c r="N67" s="479"/>
      <c r="O67" s="432"/>
      <c r="AJ67" s="450"/>
    </row>
    <row r="68" spans="1:36" ht="12.95" customHeight="1">
      <c r="A68" s="448"/>
      <c r="M68" s="608" t="s">
        <v>4398</v>
      </c>
      <c r="N68" s="609"/>
      <c r="O68" s="610"/>
      <c r="AJ68" s="450"/>
    </row>
    <row r="69" spans="1:36" ht="24.6" customHeight="1">
      <c r="A69" s="448"/>
      <c r="M69" s="611"/>
      <c r="N69" s="612"/>
      <c r="O69" s="613"/>
      <c r="AJ69" s="450"/>
    </row>
    <row r="70" spans="1:36" ht="13.5" thickBot="1">
      <c r="A70" s="487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88"/>
      <c r="M70" s="489"/>
      <c r="N70" s="489"/>
      <c r="O70" s="490"/>
      <c r="P70" s="488"/>
      <c r="Q70" s="488"/>
      <c r="R70" s="488"/>
      <c r="S70" s="488"/>
      <c r="T70" s="488"/>
      <c r="U70" s="488"/>
      <c r="V70" s="488"/>
      <c r="W70" s="488"/>
      <c r="X70" s="488"/>
      <c r="Y70" s="488"/>
      <c r="Z70" s="488"/>
      <c r="AA70" s="488"/>
      <c r="AB70" s="488"/>
      <c r="AC70" s="488"/>
      <c r="AD70" s="488"/>
      <c r="AE70" s="488"/>
      <c r="AF70" s="488"/>
      <c r="AG70" s="488"/>
      <c r="AH70" s="488"/>
      <c r="AI70" s="488"/>
      <c r="AJ70" s="491"/>
    </row>
    <row r="71" spans="1:36" ht="13.5" thickTop="1"/>
  </sheetData>
  <mergeCells count="48">
    <mergeCell ref="C63:D63"/>
    <mergeCell ref="M65:O66"/>
    <mergeCell ref="M68:O69"/>
    <mergeCell ref="M50:O51"/>
    <mergeCell ref="R50:T51"/>
    <mergeCell ref="I53:J53"/>
    <mergeCell ref="M53:O54"/>
    <mergeCell ref="I54:J54"/>
    <mergeCell ref="M56:O57"/>
    <mergeCell ref="M59:O60"/>
    <mergeCell ref="H61:I61"/>
    <mergeCell ref="M62:O63"/>
    <mergeCell ref="C43:F44"/>
    <mergeCell ref="M44:O45"/>
    <mergeCell ref="R44:T45"/>
    <mergeCell ref="W44:Y45"/>
    <mergeCell ref="AC44:AD45"/>
    <mergeCell ref="M47:O48"/>
    <mergeCell ref="R47:T48"/>
    <mergeCell ref="W47:Y48"/>
    <mergeCell ref="AC47:AD48"/>
    <mergeCell ref="AF37:AI38"/>
    <mergeCell ref="AC41:AD42"/>
    <mergeCell ref="AG41:AI42"/>
    <mergeCell ref="AB37:AD38"/>
    <mergeCell ref="C40:F41"/>
    <mergeCell ref="I41:J42"/>
    <mergeCell ref="M41:O42"/>
    <mergeCell ref="R41:T42"/>
    <mergeCell ref="W41:Y42"/>
    <mergeCell ref="C37:F38"/>
    <mergeCell ref="H37:J38"/>
    <mergeCell ref="L37:O38"/>
    <mergeCell ref="Q37:T38"/>
    <mergeCell ref="V37:Y38"/>
    <mergeCell ref="C34:F35"/>
    <mergeCell ref="M4:P7"/>
    <mergeCell ref="M14:P17"/>
    <mergeCell ref="B18:E19"/>
    <mergeCell ref="I20:L21"/>
    <mergeCell ref="P20:S21"/>
    <mergeCell ref="C22:F23"/>
    <mergeCell ref="P23:S24"/>
    <mergeCell ref="D25:F26"/>
    <mergeCell ref="P26:S27"/>
    <mergeCell ref="D28:F29"/>
    <mergeCell ref="P29:S30"/>
    <mergeCell ref="C31:F32"/>
  </mergeCells>
  <printOptions horizontalCentered="1"/>
  <pageMargins left="0.15748031496062992" right="0.15748031496062992" top="0.98425196850393704" bottom="0.98425196850393704" header="0" footer="0"/>
  <pageSetup paperSize="9" scale="4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5:D18"/>
  <sheetViews>
    <sheetView showGridLines="0" zoomScaleNormal="100" zoomScaleSheetLayoutView="85" workbookViewId="0">
      <selection activeCell="AI14" sqref="AI14"/>
    </sheetView>
  </sheetViews>
  <sheetFormatPr baseColWidth="10" defaultColWidth="11.5703125" defaultRowHeight="15"/>
  <cols>
    <col min="1" max="1" width="2.42578125" style="334" customWidth="1"/>
    <col min="2" max="2" width="6.5703125" style="334" customWidth="1"/>
    <col min="3" max="3" width="61.140625" style="334" customWidth="1"/>
    <col min="4" max="4" width="31.85546875" style="334" customWidth="1"/>
    <col min="5" max="5" width="2.85546875" style="334" customWidth="1"/>
    <col min="6" max="16384" width="11.5703125" style="334"/>
  </cols>
  <sheetData>
    <row r="5" spans="2:4" ht="15.75">
      <c r="B5" s="630" t="s">
        <v>4399</v>
      </c>
      <c r="C5" s="631"/>
      <c r="D5" s="632"/>
    </row>
    <row r="6" spans="2:4" ht="15.75">
      <c r="B6" s="335" t="s">
        <v>33</v>
      </c>
      <c r="C6" s="335" t="s">
        <v>7</v>
      </c>
      <c r="D6" s="335" t="s">
        <v>4400</v>
      </c>
    </row>
    <row r="7" spans="2:4">
      <c r="B7" s="336">
        <v>1</v>
      </c>
      <c r="C7" s="337" t="s">
        <v>4401</v>
      </c>
      <c r="D7" s="336" t="s">
        <v>4402</v>
      </c>
    </row>
    <row r="8" spans="2:4">
      <c r="B8" s="336">
        <v>2</v>
      </c>
      <c r="C8" s="337" t="s">
        <v>4403</v>
      </c>
      <c r="D8" s="336" t="s">
        <v>4404</v>
      </c>
    </row>
    <row r="9" spans="2:4">
      <c r="B9" s="336">
        <v>3</v>
      </c>
      <c r="C9" s="337" t="s">
        <v>4405</v>
      </c>
      <c r="D9" s="336" t="s">
        <v>4406</v>
      </c>
    </row>
    <row r="10" spans="2:4">
      <c r="B10" s="336">
        <v>4</v>
      </c>
      <c r="C10" s="337" t="s">
        <v>4407</v>
      </c>
      <c r="D10" s="336" t="s">
        <v>4406</v>
      </c>
    </row>
    <row r="11" spans="2:4">
      <c r="B11" s="336">
        <v>5</v>
      </c>
      <c r="C11" s="337" t="s">
        <v>4408</v>
      </c>
      <c r="D11" s="336" t="s">
        <v>4409</v>
      </c>
    </row>
    <row r="12" spans="2:4">
      <c r="B12" s="336">
        <v>6</v>
      </c>
      <c r="C12" s="337" t="s">
        <v>4410</v>
      </c>
      <c r="D12" s="336" t="s">
        <v>4411</v>
      </c>
    </row>
    <row r="13" spans="2:4">
      <c r="B13" s="336">
        <v>7</v>
      </c>
      <c r="C13" s="337" t="s">
        <v>4412</v>
      </c>
      <c r="D13" s="336" t="s">
        <v>185</v>
      </c>
    </row>
    <row r="14" spans="2:4">
      <c r="B14" s="336">
        <v>8</v>
      </c>
      <c r="C14" s="337" t="s">
        <v>4413</v>
      </c>
      <c r="D14" s="336" t="s">
        <v>4414</v>
      </c>
    </row>
    <row r="15" spans="2:4">
      <c r="B15" s="336">
        <v>9</v>
      </c>
      <c r="C15" s="337" t="s">
        <v>4415</v>
      </c>
      <c r="D15" s="336" t="s">
        <v>4416</v>
      </c>
    </row>
    <row r="16" spans="2:4">
      <c r="B16" s="336">
        <v>10</v>
      </c>
      <c r="C16" s="337" t="s">
        <v>4417</v>
      </c>
      <c r="D16" s="336" t="s">
        <v>4418</v>
      </c>
    </row>
    <row r="17" spans="2:4">
      <c r="B17" s="336"/>
      <c r="C17" s="337"/>
      <c r="D17" s="336"/>
    </row>
    <row r="18" spans="2:4">
      <c r="B18" s="336"/>
      <c r="C18" s="337"/>
      <c r="D18" s="336"/>
    </row>
  </sheetData>
  <mergeCells count="1">
    <mergeCell ref="B5:D5"/>
  </mergeCells>
  <pageMargins left="0.7" right="0.7" top="0.75" bottom="0.75" header="0.3" footer="0.3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B3:H2757"/>
  <sheetViews>
    <sheetView showGridLines="0" tabSelected="1" view="pageBreakPreview" zoomScale="70" zoomScaleNormal="80" zoomScaleSheetLayoutView="70" workbookViewId="0">
      <pane ySplit="7" topLeftCell="A2671" activePane="bottomLeft" state="frozen"/>
      <selection pane="bottomLeft" activeCell="J2740" sqref="J2740"/>
    </sheetView>
  </sheetViews>
  <sheetFormatPr baseColWidth="10" defaultColWidth="11.42578125" defaultRowHeight="15" outlineLevelRow="3"/>
  <cols>
    <col min="1" max="1" width="1.85546875" style="120" customWidth="1"/>
    <col min="2" max="2" width="18.42578125" style="321" customWidth="1"/>
    <col min="3" max="3" width="78.140625" style="120" customWidth="1"/>
    <col min="4" max="4" width="7.85546875" style="120" customWidth="1"/>
    <col min="5" max="5" width="11.140625" style="321" customWidth="1"/>
    <col min="6" max="6" width="13.5703125" style="321" customWidth="1"/>
    <col min="7" max="7" width="21.7109375" style="321" bestFit="1" customWidth="1"/>
    <col min="8" max="8" width="3.140625" customWidth="1"/>
    <col min="9" max="16384" width="11.42578125" style="120"/>
  </cols>
  <sheetData>
    <row r="3" spans="2:7" ht="18.75">
      <c r="B3" s="503" t="s">
        <v>30</v>
      </c>
      <c r="C3" s="503"/>
      <c r="D3" s="503"/>
      <c r="E3" s="503"/>
      <c r="F3" s="503"/>
      <c r="G3" s="503"/>
    </row>
    <row r="4" spans="2:7" ht="15.75">
      <c r="B4" s="504" t="s">
        <v>31</v>
      </c>
      <c r="C4" s="504"/>
      <c r="D4" s="504"/>
      <c r="E4" s="504"/>
      <c r="F4" s="504"/>
      <c r="G4" s="504"/>
    </row>
    <row r="5" spans="2:7">
      <c r="B5" s="322" t="s">
        <v>32</v>
      </c>
    </row>
    <row r="6" spans="2:7" ht="22.5" customHeight="1">
      <c r="B6" s="502" t="s">
        <v>24</v>
      </c>
      <c r="C6" s="502"/>
      <c r="D6" s="502"/>
      <c r="E6" s="502"/>
      <c r="F6" s="502"/>
      <c r="G6" s="502"/>
    </row>
    <row r="7" spans="2:7" ht="24.6" customHeight="1">
      <c r="B7" s="428" t="s">
        <v>33</v>
      </c>
      <c r="C7" s="323" t="s">
        <v>34</v>
      </c>
      <c r="D7" s="428" t="s">
        <v>35</v>
      </c>
      <c r="E7" s="428" t="s">
        <v>36</v>
      </c>
      <c r="F7" s="428" t="s">
        <v>37</v>
      </c>
      <c r="G7" s="428" t="s">
        <v>38</v>
      </c>
    </row>
    <row r="8" spans="2:7" ht="20.100000000000001" customHeight="1" collapsed="1">
      <c r="B8" s="492">
        <v>1</v>
      </c>
      <c r="C8" s="493" t="s">
        <v>39</v>
      </c>
      <c r="D8" s="494"/>
      <c r="E8" s="494"/>
      <c r="F8" s="495"/>
      <c r="G8" s="496">
        <f>+SUBTOTAL(9,G9:G1362)</f>
        <v>8032830.0000000056</v>
      </c>
    </row>
    <row r="9" spans="2:7" hidden="1" outlineLevel="1" collapsed="1">
      <c r="B9" s="497">
        <v>1.01</v>
      </c>
      <c r="C9" s="324" t="s">
        <v>40</v>
      </c>
      <c r="D9" s="121"/>
      <c r="E9" s="332"/>
      <c r="F9" s="325"/>
      <c r="G9" s="435">
        <f>+SUBTOTAL(9,G10:G13)</f>
        <v>1448053.6199999999</v>
      </c>
    </row>
    <row r="10" spans="2:7" hidden="1" outlineLevel="2">
      <c r="B10" s="330" t="s">
        <v>41</v>
      </c>
      <c r="C10" s="121" t="s">
        <v>42</v>
      </c>
      <c r="D10" s="332" t="s">
        <v>43</v>
      </c>
      <c r="E10" s="332">
        <v>1</v>
      </c>
      <c r="F10" s="325">
        <v>982929.1</v>
      </c>
      <c r="G10" s="436">
        <f>ROUND(E10*F10,2)</f>
        <v>982929.1</v>
      </c>
    </row>
    <row r="11" spans="2:7" hidden="1" outlineLevel="2">
      <c r="B11" s="330" t="s">
        <v>44</v>
      </c>
      <c r="C11" s="121" t="s">
        <v>45</v>
      </c>
      <c r="D11" s="332" t="s">
        <v>43</v>
      </c>
      <c r="E11" s="332">
        <v>1</v>
      </c>
      <c r="F11" s="325">
        <v>15719.16</v>
      </c>
      <c r="G11" s="436">
        <f>ROUND(E11*F11,2)</f>
        <v>15719.16</v>
      </c>
    </row>
    <row r="12" spans="2:7" hidden="1" outlineLevel="2">
      <c r="B12" s="330" t="s">
        <v>46</v>
      </c>
      <c r="C12" s="121" t="s">
        <v>47</v>
      </c>
      <c r="D12" s="332" t="s">
        <v>43</v>
      </c>
      <c r="E12" s="332">
        <v>4</v>
      </c>
      <c r="F12" s="325">
        <v>3798.61</v>
      </c>
      <c r="G12" s="436">
        <f>ROUND(E12*F12,2)</f>
        <v>15194.44</v>
      </c>
    </row>
    <row r="13" spans="2:7" hidden="1" outlineLevel="2">
      <c r="B13" s="330" t="s">
        <v>48</v>
      </c>
      <c r="C13" s="121" t="s">
        <v>49</v>
      </c>
      <c r="D13" s="332" t="s">
        <v>43</v>
      </c>
      <c r="E13" s="332">
        <v>1</v>
      </c>
      <c r="F13" s="325">
        <v>434210.92</v>
      </c>
      <c r="G13" s="436">
        <f>ROUND(E13*F13,2)</f>
        <v>434210.92</v>
      </c>
    </row>
    <row r="14" spans="2:7" hidden="1" outlineLevel="1">
      <c r="B14" s="331">
        <v>1.03</v>
      </c>
      <c r="C14" s="324" t="s">
        <v>50</v>
      </c>
      <c r="D14" s="332"/>
      <c r="E14" s="332"/>
      <c r="F14" s="325"/>
      <c r="G14" s="435">
        <f>+SUBTOTAL(9,G15:G350)</f>
        <v>1330156.1199999996</v>
      </c>
    </row>
    <row r="15" spans="2:7" hidden="1" outlineLevel="1" collapsed="1">
      <c r="B15" s="331" t="s">
        <v>51</v>
      </c>
      <c r="C15" s="324" t="s">
        <v>52</v>
      </c>
      <c r="D15" s="332"/>
      <c r="E15" s="332"/>
      <c r="F15" s="325"/>
      <c r="G15" s="435">
        <f>+SUBTOTAL(9,G16:G84)</f>
        <v>859926.0299999998</v>
      </c>
    </row>
    <row r="16" spans="2:7" hidden="1" outlineLevel="2">
      <c r="B16" s="331" t="s">
        <v>53</v>
      </c>
      <c r="C16" s="324" t="s">
        <v>54</v>
      </c>
      <c r="D16" s="332"/>
      <c r="E16" s="332"/>
      <c r="F16" s="325"/>
      <c r="G16" s="435">
        <f>+SUBTOTAL(9,G17:G20)</f>
        <v>45352.27</v>
      </c>
    </row>
    <row r="17" spans="2:7" hidden="1" outlineLevel="2">
      <c r="B17" s="330" t="s">
        <v>55</v>
      </c>
      <c r="C17" s="121" t="s">
        <v>56</v>
      </c>
      <c r="D17" s="332" t="s">
        <v>57</v>
      </c>
      <c r="E17" s="332">
        <v>237.79</v>
      </c>
      <c r="F17" s="325">
        <v>68.64</v>
      </c>
      <c r="G17" s="436">
        <f>ROUND(E17*F17,2)</f>
        <v>16321.91</v>
      </c>
    </row>
    <row r="18" spans="2:7" hidden="1" outlineLevel="2">
      <c r="B18" s="330" t="s">
        <v>58</v>
      </c>
      <c r="C18" s="121" t="s">
        <v>59</v>
      </c>
      <c r="D18" s="332" t="s">
        <v>57</v>
      </c>
      <c r="E18" s="332">
        <v>237.79</v>
      </c>
      <c r="F18" s="325">
        <v>115.11</v>
      </c>
      <c r="G18" s="436">
        <f>ROUND(E18*F18,2)</f>
        <v>27372.01</v>
      </c>
    </row>
    <row r="19" spans="2:7" hidden="1" outlineLevel="2">
      <c r="B19" s="330" t="s">
        <v>60</v>
      </c>
      <c r="C19" s="121" t="s">
        <v>61</v>
      </c>
      <c r="D19" s="332" t="s">
        <v>57</v>
      </c>
      <c r="E19" s="332">
        <v>237.79</v>
      </c>
      <c r="F19" s="325">
        <v>2.9</v>
      </c>
      <c r="G19" s="436">
        <f>ROUND(E19*F19,2)</f>
        <v>689.59</v>
      </c>
    </row>
    <row r="20" spans="2:7" hidden="1" outlineLevel="2">
      <c r="B20" s="330" t="s">
        <v>62</v>
      </c>
      <c r="C20" s="121" t="s">
        <v>63</v>
      </c>
      <c r="D20" s="332" t="s">
        <v>64</v>
      </c>
      <c r="E20" s="332">
        <v>234</v>
      </c>
      <c r="F20" s="325">
        <v>4.1399999999999997</v>
      </c>
      <c r="G20" s="436">
        <f>ROUND(E20*F20,2)</f>
        <v>968.76</v>
      </c>
    </row>
    <row r="21" spans="2:7" hidden="1" outlineLevel="2">
      <c r="B21" s="331" t="s">
        <v>65</v>
      </c>
      <c r="C21" s="324" t="s">
        <v>66</v>
      </c>
      <c r="D21" s="332"/>
      <c r="E21" s="332"/>
      <c r="F21" s="325"/>
      <c r="G21" s="435">
        <f>+SUBTOTAL(9,G22:G26)</f>
        <v>205894.78000000003</v>
      </c>
    </row>
    <row r="22" spans="2:7" hidden="1" outlineLevel="2">
      <c r="B22" s="330" t="s">
        <v>67</v>
      </c>
      <c r="C22" s="121" t="s">
        <v>68</v>
      </c>
      <c r="D22" s="332" t="s">
        <v>69</v>
      </c>
      <c r="E22" s="332">
        <v>531.53</v>
      </c>
      <c r="F22" s="325">
        <v>238.3</v>
      </c>
      <c r="G22" s="436">
        <f>ROUND(E22*F22,2)</f>
        <v>126663.6</v>
      </c>
    </row>
    <row r="23" spans="2:7" hidden="1" outlineLevel="2">
      <c r="B23" s="330" t="s">
        <v>70</v>
      </c>
      <c r="C23" s="121" t="s">
        <v>71</v>
      </c>
      <c r="D23" s="332" t="s">
        <v>69</v>
      </c>
      <c r="E23" s="332">
        <v>222.96</v>
      </c>
      <c r="F23" s="325">
        <v>294</v>
      </c>
      <c r="G23" s="436">
        <f>ROUND(E23*F23,2)</f>
        <v>65550.240000000005</v>
      </c>
    </row>
    <row r="24" spans="2:7" hidden="1" outlineLevel="2">
      <c r="B24" s="330" t="s">
        <v>72</v>
      </c>
      <c r="C24" s="121" t="s">
        <v>73</v>
      </c>
      <c r="D24" s="332" t="s">
        <v>57</v>
      </c>
      <c r="E24" s="332">
        <v>237.79</v>
      </c>
      <c r="F24" s="325">
        <v>14.12</v>
      </c>
      <c r="G24" s="436">
        <f>ROUND(E24*F24,2)</f>
        <v>3357.59</v>
      </c>
    </row>
    <row r="25" spans="2:7" hidden="1" outlineLevel="2">
      <c r="B25" s="330" t="s">
        <v>74</v>
      </c>
      <c r="C25" s="121" t="s">
        <v>75</v>
      </c>
      <c r="D25" s="332" t="s">
        <v>69</v>
      </c>
      <c r="E25" s="332">
        <v>0.02</v>
      </c>
      <c r="F25" s="325">
        <v>96.56</v>
      </c>
      <c r="G25" s="436">
        <f>ROUND(E25*F25,2)</f>
        <v>1.93</v>
      </c>
    </row>
    <row r="26" spans="2:7" hidden="1" outlineLevel="2">
      <c r="B26" s="330" t="s">
        <v>76</v>
      </c>
      <c r="C26" s="121" t="s">
        <v>77</v>
      </c>
      <c r="D26" s="332" t="s">
        <v>69</v>
      </c>
      <c r="E26" s="332">
        <v>754.49</v>
      </c>
      <c r="F26" s="325">
        <v>13.68</v>
      </c>
      <c r="G26" s="436">
        <f>ROUND(E26*F26,2)</f>
        <v>10321.42</v>
      </c>
    </row>
    <row r="27" spans="2:7" hidden="1" outlineLevel="2">
      <c r="B27" s="331" t="s">
        <v>78</v>
      </c>
      <c r="C27" s="324" t="s">
        <v>79</v>
      </c>
      <c r="D27" s="332"/>
      <c r="E27" s="332"/>
      <c r="F27" s="325"/>
      <c r="G27" s="435">
        <f>+SUBTOTAL(9,G28:G29)</f>
        <v>47789.08</v>
      </c>
    </row>
    <row r="28" spans="2:7" hidden="1" outlineLevel="2">
      <c r="B28" s="330" t="s">
        <v>80</v>
      </c>
      <c r="C28" s="121" t="s">
        <v>81</v>
      </c>
      <c r="D28" s="332" t="s">
        <v>69</v>
      </c>
      <c r="E28" s="332">
        <v>12.89</v>
      </c>
      <c r="F28" s="325">
        <v>398.62</v>
      </c>
      <c r="G28" s="436">
        <f>ROUND(E28*F28,2)</f>
        <v>5138.21</v>
      </c>
    </row>
    <row r="29" spans="2:7" hidden="1" outlineLevel="2">
      <c r="B29" s="330" t="s">
        <v>82</v>
      </c>
      <c r="C29" s="121" t="s">
        <v>83</v>
      </c>
      <c r="D29" s="332" t="s">
        <v>69</v>
      </c>
      <c r="E29" s="332">
        <v>112.83</v>
      </c>
      <c r="F29" s="325">
        <v>378.01</v>
      </c>
      <c r="G29" s="436">
        <f>ROUND(E29*F29,2)</f>
        <v>42650.87</v>
      </c>
    </row>
    <row r="30" spans="2:7" hidden="1" outlineLevel="2">
      <c r="B30" s="331" t="s">
        <v>84</v>
      </c>
      <c r="C30" s="324" t="s">
        <v>85</v>
      </c>
      <c r="D30" s="332"/>
      <c r="E30" s="332"/>
      <c r="F30" s="325"/>
      <c r="G30" s="435">
        <f>+SUBTOTAL(9,G31:G53)</f>
        <v>374512.35999999993</v>
      </c>
    </row>
    <row r="31" spans="2:7" hidden="1" outlineLevel="2">
      <c r="B31" s="331" t="s">
        <v>86</v>
      </c>
      <c r="C31" s="324" t="s">
        <v>87</v>
      </c>
      <c r="D31" s="332"/>
      <c r="E31" s="332"/>
      <c r="F31" s="325"/>
      <c r="G31" s="435">
        <f>+SUBTOTAL(9,G32:G34)</f>
        <v>77786.36</v>
      </c>
    </row>
    <row r="32" spans="2:7" hidden="1" outlineLevel="2">
      <c r="B32" s="330" t="s">
        <v>88</v>
      </c>
      <c r="C32" s="121" t="s">
        <v>89</v>
      </c>
      <c r="D32" s="332" t="s">
        <v>69</v>
      </c>
      <c r="E32" s="332">
        <v>65.98</v>
      </c>
      <c r="F32" s="325">
        <v>476.71</v>
      </c>
      <c r="G32" s="436">
        <f>ROUND(E32*F32,2)</f>
        <v>31453.33</v>
      </c>
    </row>
    <row r="33" spans="2:7" hidden="1" outlineLevel="2">
      <c r="B33" s="330" t="s">
        <v>90</v>
      </c>
      <c r="C33" s="121" t="s">
        <v>91</v>
      </c>
      <c r="D33" s="332" t="s">
        <v>57</v>
      </c>
      <c r="E33" s="332">
        <v>18.75</v>
      </c>
      <c r="F33" s="325">
        <v>49.36</v>
      </c>
      <c r="G33" s="436">
        <f>ROUND(E33*F33,2)</f>
        <v>925.5</v>
      </c>
    </row>
    <row r="34" spans="2:7" hidden="1" outlineLevel="2">
      <c r="B34" s="330" t="s">
        <v>92</v>
      </c>
      <c r="C34" s="121" t="s">
        <v>93</v>
      </c>
      <c r="D34" s="332" t="s">
        <v>94</v>
      </c>
      <c r="E34" s="327">
        <v>6161.13</v>
      </c>
      <c r="F34" s="325">
        <v>7.37</v>
      </c>
      <c r="G34" s="436">
        <f>ROUND(E34*F34,2)</f>
        <v>45407.53</v>
      </c>
    </row>
    <row r="35" spans="2:7" hidden="1" outlineLevel="2">
      <c r="B35" s="331" t="s">
        <v>95</v>
      </c>
      <c r="C35" s="324" t="s">
        <v>96</v>
      </c>
      <c r="D35" s="332"/>
      <c r="E35" s="332"/>
      <c r="F35" s="325"/>
      <c r="G35" s="435">
        <f>+SUBTOTAL(9,G36:G37)</f>
        <v>37636.07</v>
      </c>
    </row>
    <row r="36" spans="2:7" hidden="1" outlineLevel="2">
      <c r="B36" s="330" t="s">
        <v>97</v>
      </c>
      <c r="C36" s="121" t="s">
        <v>98</v>
      </c>
      <c r="D36" s="332" t="s">
        <v>69</v>
      </c>
      <c r="E36" s="332">
        <v>25.77</v>
      </c>
      <c r="F36" s="325">
        <v>476.71</v>
      </c>
      <c r="G36" s="436">
        <f>ROUND(E36*F36,2)</f>
        <v>12284.82</v>
      </c>
    </row>
    <row r="37" spans="2:7" hidden="1" outlineLevel="2">
      <c r="B37" s="330" t="s">
        <v>99</v>
      </c>
      <c r="C37" s="121" t="s">
        <v>100</v>
      </c>
      <c r="D37" s="332" t="s">
        <v>94</v>
      </c>
      <c r="E37" s="327">
        <v>3439.79</v>
      </c>
      <c r="F37" s="325">
        <v>7.37</v>
      </c>
      <c r="G37" s="436">
        <f>ROUND(E37*F37,2)</f>
        <v>25351.25</v>
      </c>
    </row>
    <row r="38" spans="2:7" hidden="1" outlineLevel="2">
      <c r="B38" s="331" t="s">
        <v>101</v>
      </c>
      <c r="C38" s="324" t="s">
        <v>102</v>
      </c>
      <c r="D38" s="332"/>
      <c r="E38" s="332"/>
      <c r="F38" s="325"/>
      <c r="G38" s="435">
        <f>+SUBTOTAL(9,G39:G41)</f>
        <v>175426.02</v>
      </c>
    </row>
    <row r="39" spans="2:7" hidden="1" outlineLevel="2">
      <c r="B39" s="330" t="s">
        <v>103</v>
      </c>
      <c r="C39" s="121" t="s">
        <v>104</v>
      </c>
      <c r="D39" s="332" t="s">
        <v>69</v>
      </c>
      <c r="E39" s="332">
        <v>83.72</v>
      </c>
      <c r="F39" s="325">
        <v>479.71</v>
      </c>
      <c r="G39" s="436">
        <f>ROUND(E39*F39,2)</f>
        <v>40161.32</v>
      </c>
    </row>
    <row r="40" spans="2:7" hidden="1" outlineLevel="2">
      <c r="B40" s="330" t="s">
        <v>105</v>
      </c>
      <c r="C40" s="121" t="s">
        <v>106</v>
      </c>
      <c r="D40" s="332" t="s">
        <v>57</v>
      </c>
      <c r="E40" s="332">
        <v>558.16999999999996</v>
      </c>
      <c r="F40" s="325">
        <v>64.8</v>
      </c>
      <c r="G40" s="436">
        <f>ROUND(E40*F40,2)</f>
        <v>36169.42</v>
      </c>
    </row>
    <row r="41" spans="2:7" hidden="1" outlineLevel="2">
      <c r="B41" s="330" t="s">
        <v>107</v>
      </c>
      <c r="C41" s="121" t="s">
        <v>108</v>
      </c>
      <c r="D41" s="332" t="s">
        <v>94</v>
      </c>
      <c r="E41" s="327">
        <v>13195.11</v>
      </c>
      <c r="F41" s="325">
        <v>7.51</v>
      </c>
      <c r="G41" s="436">
        <f>ROUND(E41*F41,2)</f>
        <v>99095.28</v>
      </c>
    </row>
    <row r="42" spans="2:7" hidden="1" outlineLevel="2">
      <c r="B42" s="331" t="s">
        <v>109</v>
      </c>
      <c r="C42" s="324" t="s">
        <v>110</v>
      </c>
      <c r="D42" s="332"/>
      <c r="E42" s="332"/>
      <c r="F42" s="325"/>
      <c r="G42" s="435">
        <f>+SUBTOTAL(9,G43:G45)</f>
        <v>805.02</v>
      </c>
    </row>
    <row r="43" spans="2:7" hidden="1" outlineLevel="2">
      <c r="B43" s="330" t="s">
        <v>111</v>
      </c>
      <c r="C43" s="121" t="s">
        <v>112</v>
      </c>
      <c r="D43" s="332" t="s">
        <v>69</v>
      </c>
      <c r="E43" s="332">
        <v>0.43</v>
      </c>
      <c r="F43" s="325">
        <v>485.11</v>
      </c>
      <c r="G43" s="436">
        <f>ROUND(E43*F43,2)</f>
        <v>208.6</v>
      </c>
    </row>
    <row r="44" spans="2:7" hidden="1" outlineLevel="2">
      <c r="B44" s="330" t="s">
        <v>113</v>
      </c>
      <c r="C44" s="121" t="s">
        <v>114</v>
      </c>
      <c r="D44" s="332" t="s">
        <v>57</v>
      </c>
      <c r="E44" s="332">
        <v>6.92</v>
      </c>
      <c r="F44" s="325">
        <v>49.36</v>
      </c>
      <c r="G44" s="436">
        <f>ROUND(E44*F44,2)</f>
        <v>341.57</v>
      </c>
    </row>
    <row r="45" spans="2:7" hidden="1" outlineLevel="2">
      <c r="B45" s="330" t="s">
        <v>115</v>
      </c>
      <c r="C45" s="121" t="s">
        <v>116</v>
      </c>
      <c r="D45" s="332" t="s">
        <v>94</v>
      </c>
      <c r="E45" s="332">
        <v>34.58</v>
      </c>
      <c r="F45" s="325">
        <v>7.37</v>
      </c>
      <c r="G45" s="436">
        <f>ROUND(E45*F45,2)</f>
        <v>254.85</v>
      </c>
    </row>
    <row r="46" spans="2:7" hidden="1" outlineLevel="2">
      <c r="B46" s="331" t="s">
        <v>117</v>
      </c>
      <c r="C46" s="324" t="s">
        <v>118</v>
      </c>
      <c r="D46" s="332"/>
      <c r="E46" s="332"/>
      <c r="F46" s="325"/>
      <c r="G46" s="435">
        <f>+SUBTOTAL(9,G47:G49)</f>
        <v>15199.6</v>
      </c>
    </row>
    <row r="47" spans="2:7" hidden="1" outlineLevel="2">
      <c r="B47" s="330" t="s">
        <v>119</v>
      </c>
      <c r="C47" s="121" t="s">
        <v>120</v>
      </c>
      <c r="D47" s="332" t="s">
        <v>69</v>
      </c>
      <c r="E47" s="332">
        <v>10.46</v>
      </c>
      <c r="F47" s="325">
        <v>485.11</v>
      </c>
      <c r="G47" s="436">
        <f>ROUND(E47*F47,2)</f>
        <v>5074.25</v>
      </c>
    </row>
    <row r="48" spans="2:7" hidden="1" outlineLevel="2">
      <c r="B48" s="330" t="s">
        <v>121</v>
      </c>
      <c r="C48" s="121" t="s">
        <v>122</v>
      </c>
      <c r="D48" s="332" t="s">
        <v>57</v>
      </c>
      <c r="E48" s="332">
        <v>46.86</v>
      </c>
      <c r="F48" s="325">
        <v>75.39</v>
      </c>
      <c r="G48" s="436">
        <f>ROUND(E48*F48,2)</f>
        <v>3532.78</v>
      </c>
    </row>
    <row r="49" spans="2:7" hidden="1" outlineLevel="2">
      <c r="B49" s="330" t="s">
        <v>123</v>
      </c>
      <c r="C49" s="121" t="s">
        <v>124</v>
      </c>
      <c r="D49" s="332" t="s">
        <v>94</v>
      </c>
      <c r="E49" s="332">
        <v>881.36</v>
      </c>
      <c r="F49" s="325">
        <v>7.48</v>
      </c>
      <c r="G49" s="436">
        <f>ROUND(E49*F49,2)</f>
        <v>6592.57</v>
      </c>
    </row>
    <row r="50" spans="2:7" hidden="1" outlineLevel="2">
      <c r="B50" s="331" t="s">
        <v>125</v>
      </c>
      <c r="C50" s="324" t="s">
        <v>126</v>
      </c>
      <c r="D50" s="332"/>
      <c r="E50" s="332"/>
      <c r="F50" s="325"/>
      <c r="G50" s="435">
        <f>+SUBTOTAL(9,G51:G53)</f>
        <v>67659.289999999994</v>
      </c>
    </row>
    <row r="51" spans="2:7" hidden="1" outlineLevel="2">
      <c r="B51" s="330" t="s">
        <v>127</v>
      </c>
      <c r="C51" s="121" t="s">
        <v>128</v>
      </c>
      <c r="D51" s="332" t="s">
        <v>69</v>
      </c>
      <c r="E51" s="332">
        <v>37.43</v>
      </c>
      <c r="F51" s="325">
        <v>485.11</v>
      </c>
      <c r="G51" s="436">
        <f>ROUND(E51*F51,2)</f>
        <v>18157.669999999998</v>
      </c>
    </row>
    <row r="52" spans="2:7" hidden="1" outlineLevel="2">
      <c r="B52" s="330" t="s">
        <v>129</v>
      </c>
      <c r="C52" s="121" t="s">
        <v>130</v>
      </c>
      <c r="D52" s="332" t="s">
        <v>57</v>
      </c>
      <c r="E52" s="332">
        <v>216.65</v>
      </c>
      <c r="F52" s="325">
        <v>89.4</v>
      </c>
      <c r="G52" s="436">
        <f>ROUND(E52*F52,2)</f>
        <v>19368.509999999998</v>
      </c>
    </row>
    <row r="53" spans="2:7" hidden="1" outlineLevel="2">
      <c r="B53" s="330" t="s">
        <v>131</v>
      </c>
      <c r="C53" s="121" t="s">
        <v>132</v>
      </c>
      <c r="D53" s="332" t="s">
        <v>94</v>
      </c>
      <c r="E53" s="327">
        <v>4028.49</v>
      </c>
      <c r="F53" s="325">
        <v>7.48</v>
      </c>
      <c r="G53" s="436">
        <f>ROUND(E53*F53,2)</f>
        <v>30133.11</v>
      </c>
    </row>
    <row r="54" spans="2:7" hidden="1" outlineLevel="2">
      <c r="B54" s="331" t="s">
        <v>133</v>
      </c>
      <c r="C54" s="324" t="s">
        <v>134</v>
      </c>
      <c r="D54" s="332"/>
      <c r="E54" s="332"/>
      <c r="F54" s="325"/>
      <c r="G54" s="435">
        <f>+SUBTOTAL(9,G55:G65)</f>
        <v>86740.26</v>
      </c>
    </row>
    <row r="55" spans="2:7" ht="30" hidden="1" outlineLevel="2">
      <c r="B55" s="330" t="s">
        <v>135</v>
      </c>
      <c r="C55" s="121" t="s">
        <v>136</v>
      </c>
      <c r="D55" s="332" t="s">
        <v>57</v>
      </c>
      <c r="E55" s="332">
        <v>138.31</v>
      </c>
      <c r="F55" s="325">
        <v>28.74</v>
      </c>
      <c r="G55" s="436">
        <f t="shared" ref="G55:G65" si="0">ROUND(E55*F55,2)</f>
        <v>3975.03</v>
      </c>
    </row>
    <row r="56" spans="2:7" ht="30" hidden="1" outlineLevel="2">
      <c r="B56" s="330" t="s">
        <v>137</v>
      </c>
      <c r="C56" s="121" t="s">
        <v>138</v>
      </c>
      <c r="D56" s="332" t="s">
        <v>57</v>
      </c>
      <c r="E56" s="332">
        <v>138.31</v>
      </c>
      <c r="F56" s="325">
        <v>28.74</v>
      </c>
      <c r="G56" s="436">
        <f t="shared" si="0"/>
        <v>3975.03</v>
      </c>
    </row>
    <row r="57" spans="2:7" ht="30" hidden="1" outlineLevel="2">
      <c r="B57" s="330" t="s">
        <v>139</v>
      </c>
      <c r="C57" s="121" t="s">
        <v>140</v>
      </c>
      <c r="D57" s="332" t="s">
        <v>57</v>
      </c>
      <c r="E57" s="332">
        <v>300.99</v>
      </c>
      <c r="F57" s="325">
        <v>28.74</v>
      </c>
      <c r="G57" s="436">
        <f t="shared" si="0"/>
        <v>8650.4500000000007</v>
      </c>
    </row>
    <row r="58" spans="2:7" ht="30" hidden="1" outlineLevel="2">
      <c r="B58" s="330" t="s">
        <v>141</v>
      </c>
      <c r="C58" s="121" t="s">
        <v>142</v>
      </c>
      <c r="D58" s="332" t="s">
        <v>57</v>
      </c>
      <c r="E58" s="332">
        <v>300.99</v>
      </c>
      <c r="F58" s="325">
        <v>29.3</v>
      </c>
      <c r="G58" s="436">
        <f t="shared" si="0"/>
        <v>8819.01</v>
      </c>
    </row>
    <row r="59" spans="2:7" hidden="1" outlineLevel="2">
      <c r="B59" s="330" t="s">
        <v>143</v>
      </c>
      <c r="C59" s="121" t="s">
        <v>144</v>
      </c>
      <c r="D59" s="332" t="s">
        <v>57</v>
      </c>
      <c r="E59" s="332">
        <v>352.61</v>
      </c>
      <c r="F59" s="325">
        <v>27.37</v>
      </c>
      <c r="G59" s="436">
        <f t="shared" si="0"/>
        <v>9650.94</v>
      </c>
    </row>
    <row r="60" spans="2:7" hidden="1" outlineLevel="2">
      <c r="B60" s="330" t="s">
        <v>145</v>
      </c>
      <c r="C60" s="121" t="s">
        <v>146</v>
      </c>
      <c r="D60" s="332" t="s">
        <v>57</v>
      </c>
      <c r="E60" s="332">
        <v>352.61</v>
      </c>
      <c r="F60" s="325">
        <v>27.37</v>
      </c>
      <c r="G60" s="436">
        <f t="shared" si="0"/>
        <v>9650.94</v>
      </c>
    </row>
    <row r="61" spans="2:7" ht="30" hidden="1" outlineLevel="2">
      <c r="B61" s="330" t="s">
        <v>147</v>
      </c>
      <c r="C61" s="121" t="s">
        <v>148</v>
      </c>
      <c r="D61" s="332" t="s">
        <v>57</v>
      </c>
      <c r="E61" s="332">
        <v>216.65</v>
      </c>
      <c r="F61" s="325">
        <v>55.84</v>
      </c>
      <c r="G61" s="436">
        <f t="shared" si="0"/>
        <v>12097.74</v>
      </c>
    </row>
    <row r="62" spans="2:7" ht="30" hidden="1" outlineLevel="2">
      <c r="B62" s="330" t="s">
        <v>149</v>
      </c>
      <c r="C62" s="121" t="s">
        <v>150</v>
      </c>
      <c r="D62" s="332" t="s">
        <v>57</v>
      </c>
      <c r="E62" s="332">
        <v>216.65</v>
      </c>
      <c r="F62" s="325">
        <v>55.84</v>
      </c>
      <c r="G62" s="436">
        <f t="shared" si="0"/>
        <v>12097.74</v>
      </c>
    </row>
    <row r="63" spans="2:7" hidden="1" outlineLevel="2">
      <c r="B63" s="330" t="s">
        <v>151</v>
      </c>
      <c r="C63" s="121" t="s">
        <v>152</v>
      </c>
      <c r="D63" s="332" t="s">
        <v>57</v>
      </c>
      <c r="E63" s="332">
        <v>229.06</v>
      </c>
      <c r="F63" s="325">
        <v>27.37</v>
      </c>
      <c r="G63" s="436">
        <f t="shared" si="0"/>
        <v>6269.37</v>
      </c>
    </row>
    <row r="64" spans="2:7" hidden="1" outlineLevel="2">
      <c r="B64" s="330" t="s">
        <v>153</v>
      </c>
      <c r="C64" s="121" t="s">
        <v>154</v>
      </c>
      <c r="D64" s="332" t="s">
        <v>57</v>
      </c>
      <c r="E64" s="332">
        <v>229.06</v>
      </c>
      <c r="F64" s="325">
        <v>27.37</v>
      </c>
      <c r="G64" s="436">
        <f t="shared" si="0"/>
        <v>6269.37</v>
      </c>
    </row>
    <row r="65" spans="2:7" hidden="1" outlineLevel="2">
      <c r="B65" s="330" t="s">
        <v>155</v>
      </c>
      <c r="C65" s="121" t="s">
        <v>156</v>
      </c>
      <c r="D65" s="332" t="s">
        <v>57</v>
      </c>
      <c r="E65" s="327">
        <v>1237.6199999999999</v>
      </c>
      <c r="F65" s="325">
        <v>4.2699999999999996</v>
      </c>
      <c r="G65" s="436">
        <f t="shared" si="0"/>
        <v>5284.64</v>
      </c>
    </row>
    <row r="66" spans="2:7" hidden="1" outlineLevel="2">
      <c r="B66" s="331" t="s">
        <v>157</v>
      </c>
      <c r="C66" s="324" t="s">
        <v>158</v>
      </c>
      <c r="D66" s="332"/>
      <c r="E66" s="332"/>
      <c r="F66" s="325"/>
      <c r="G66" s="435">
        <f>+SUBTOTAL(9,G67)</f>
        <v>3318.61</v>
      </c>
    </row>
    <row r="67" spans="2:7" hidden="1" outlineLevel="2">
      <c r="B67" s="330" t="s">
        <v>159</v>
      </c>
      <c r="C67" s="121" t="s">
        <v>160</v>
      </c>
      <c r="D67" s="332" t="s">
        <v>57</v>
      </c>
      <c r="E67" s="332">
        <v>49.65</v>
      </c>
      <c r="F67" s="325">
        <v>66.84</v>
      </c>
      <c r="G67" s="436">
        <f>ROUND(E67*F67,2)</f>
        <v>3318.61</v>
      </c>
    </row>
    <row r="68" spans="2:7" hidden="1" outlineLevel="2">
      <c r="B68" s="331" t="s">
        <v>161</v>
      </c>
      <c r="C68" s="324" t="s">
        <v>162</v>
      </c>
      <c r="D68" s="332"/>
      <c r="E68" s="332"/>
      <c r="F68" s="325"/>
      <c r="G68" s="435">
        <f>+SUBTOTAL(9,G69:G73)</f>
        <v>21784.09</v>
      </c>
    </row>
    <row r="69" spans="2:7" hidden="1" outlineLevel="2">
      <c r="B69" s="330" t="s">
        <v>163</v>
      </c>
      <c r="C69" s="121" t="s">
        <v>164</v>
      </c>
      <c r="D69" s="332" t="s">
        <v>64</v>
      </c>
      <c r="E69" s="332">
        <v>6.75</v>
      </c>
      <c r="F69" s="325">
        <v>1663.38</v>
      </c>
      <c r="G69" s="436">
        <f>ROUND(E69*F69,2)</f>
        <v>11227.82</v>
      </c>
    </row>
    <row r="70" spans="2:7" hidden="1" outlineLevel="2">
      <c r="B70" s="330" t="s">
        <v>165</v>
      </c>
      <c r="C70" s="121" t="s">
        <v>166</v>
      </c>
      <c r="D70" s="332" t="s">
        <v>64</v>
      </c>
      <c r="E70" s="332">
        <v>4.9000000000000004</v>
      </c>
      <c r="F70" s="325">
        <v>799.69</v>
      </c>
      <c r="G70" s="436">
        <f>ROUND(E70*F70,2)</f>
        <v>3918.48</v>
      </c>
    </row>
    <row r="71" spans="2:7" ht="30" hidden="1" outlineLevel="2">
      <c r="B71" s="330" t="s">
        <v>167</v>
      </c>
      <c r="C71" s="121" t="s">
        <v>168</v>
      </c>
      <c r="D71" s="332" t="s">
        <v>43</v>
      </c>
      <c r="E71" s="332">
        <v>1</v>
      </c>
      <c r="F71" s="325">
        <v>1087.28</v>
      </c>
      <c r="G71" s="436">
        <f>ROUND(E71*F71,2)</f>
        <v>1087.28</v>
      </c>
    </row>
    <row r="72" spans="2:7" hidden="1" outlineLevel="2">
      <c r="B72" s="330" t="s">
        <v>169</v>
      </c>
      <c r="C72" s="121" t="s">
        <v>170</v>
      </c>
      <c r="D72" s="332" t="s">
        <v>43</v>
      </c>
      <c r="E72" s="332">
        <v>4</v>
      </c>
      <c r="F72" s="325">
        <v>830.94</v>
      </c>
      <c r="G72" s="436">
        <f>ROUND(E72*F72,2)</f>
        <v>3323.76</v>
      </c>
    </row>
    <row r="73" spans="2:7" hidden="1" outlineLevel="2">
      <c r="B73" s="330" t="s">
        <v>171</v>
      </c>
      <c r="C73" s="121" t="s">
        <v>172</v>
      </c>
      <c r="D73" s="332" t="s">
        <v>43</v>
      </c>
      <c r="E73" s="332">
        <v>3</v>
      </c>
      <c r="F73" s="325">
        <v>742.25</v>
      </c>
      <c r="G73" s="436">
        <f>ROUND(E73*F73,2)</f>
        <v>2226.75</v>
      </c>
    </row>
    <row r="74" spans="2:7" hidden="1" outlineLevel="2">
      <c r="B74" s="331" t="s">
        <v>173</v>
      </c>
      <c r="C74" s="324" t="s">
        <v>174</v>
      </c>
      <c r="D74" s="332"/>
      <c r="E74" s="332"/>
      <c r="F74" s="325"/>
      <c r="G74" s="435">
        <f>+SUBTOTAL(9,G75)</f>
        <v>6003.76</v>
      </c>
    </row>
    <row r="75" spans="2:7" hidden="1" outlineLevel="2">
      <c r="B75" s="330" t="s">
        <v>175</v>
      </c>
      <c r="C75" s="121" t="s">
        <v>176</v>
      </c>
      <c r="D75" s="332" t="s">
        <v>57</v>
      </c>
      <c r="E75" s="332">
        <v>581.76</v>
      </c>
      <c r="F75" s="325">
        <v>10.32</v>
      </c>
      <c r="G75" s="436">
        <f>ROUND(E75*F75,2)</f>
        <v>6003.76</v>
      </c>
    </row>
    <row r="76" spans="2:7" hidden="1" outlineLevel="2">
      <c r="B76" s="331" t="s">
        <v>177</v>
      </c>
      <c r="C76" s="324" t="s">
        <v>178</v>
      </c>
      <c r="D76" s="332"/>
      <c r="E76" s="332"/>
      <c r="F76" s="325"/>
      <c r="G76" s="435">
        <f>+SUBTOTAL(9,G77:G79)</f>
        <v>52174.51</v>
      </c>
    </row>
    <row r="77" spans="2:7" ht="30" hidden="1" outlineLevel="2">
      <c r="B77" s="330" t="s">
        <v>179</v>
      </c>
      <c r="C77" s="121" t="s">
        <v>180</v>
      </c>
      <c r="D77" s="332" t="s">
        <v>69</v>
      </c>
      <c r="E77" s="327">
        <v>1000</v>
      </c>
      <c r="F77" s="325">
        <v>48.95</v>
      </c>
      <c r="G77" s="436">
        <f>ROUND(E77*F77,2)</f>
        <v>48950</v>
      </c>
    </row>
    <row r="78" spans="2:7" hidden="1" outlineLevel="2">
      <c r="B78" s="330" t="s">
        <v>181</v>
      </c>
      <c r="C78" s="121" t="s">
        <v>182</v>
      </c>
      <c r="D78" s="332" t="s">
        <v>57</v>
      </c>
      <c r="E78" s="332">
        <v>655.95</v>
      </c>
      <c r="F78" s="325">
        <v>1.64</v>
      </c>
      <c r="G78" s="436">
        <f>ROUND(E78*F78,2)</f>
        <v>1075.76</v>
      </c>
    </row>
    <row r="79" spans="2:7" hidden="1" outlineLevel="2">
      <c r="B79" s="330" t="s">
        <v>181</v>
      </c>
      <c r="C79" s="121" t="s">
        <v>183</v>
      </c>
      <c r="D79" s="332" t="s">
        <v>43</v>
      </c>
      <c r="E79" s="332">
        <v>75</v>
      </c>
      <c r="F79" s="325">
        <v>28.65</v>
      </c>
      <c r="G79" s="436">
        <f>ROUND(E79*F79,2)</f>
        <v>2148.75</v>
      </c>
    </row>
    <row r="80" spans="2:7" hidden="1" outlineLevel="2">
      <c r="B80" s="331" t="s">
        <v>184</v>
      </c>
      <c r="C80" s="324" t="s">
        <v>185</v>
      </c>
      <c r="D80" s="332"/>
      <c r="E80" s="332"/>
      <c r="F80" s="325"/>
      <c r="G80" s="435">
        <f>+SUBTOTAL(9,G81:G84)</f>
        <v>16356.310000000001</v>
      </c>
    </row>
    <row r="81" spans="2:7" hidden="1" outlineLevel="2">
      <c r="B81" s="330" t="s">
        <v>186</v>
      </c>
      <c r="C81" s="121" t="s">
        <v>187</v>
      </c>
      <c r="D81" s="332" t="s">
        <v>57</v>
      </c>
      <c r="E81" s="332">
        <v>6.38</v>
      </c>
      <c r="F81" s="325">
        <v>28.06</v>
      </c>
      <c r="G81" s="436">
        <f>ROUND(E81*F81,2)</f>
        <v>179.02</v>
      </c>
    </row>
    <row r="82" spans="2:7" ht="30" hidden="1" outlineLevel="2">
      <c r="B82" s="330" t="s">
        <v>188</v>
      </c>
      <c r="C82" s="121" t="s">
        <v>189</v>
      </c>
      <c r="D82" s="332" t="s">
        <v>64</v>
      </c>
      <c r="E82" s="332">
        <v>10</v>
      </c>
      <c r="F82" s="325">
        <v>5.27</v>
      </c>
      <c r="G82" s="436">
        <f>ROUND(E82*F82,2)</f>
        <v>52.7</v>
      </c>
    </row>
    <row r="83" spans="2:7" hidden="1" outlineLevel="2">
      <c r="B83" s="330" t="s">
        <v>190</v>
      </c>
      <c r="C83" s="121" t="s">
        <v>191</v>
      </c>
      <c r="D83" s="332" t="s">
        <v>64</v>
      </c>
      <c r="E83" s="332">
        <v>193.39</v>
      </c>
      <c r="F83" s="325">
        <v>38.380000000000003</v>
      </c>
      <c r="G83" s="436">
        <f>ROUND(E83*F83,2)</f>
        <v>7422.31</v>
      </c>
    </row>
    <row r="84" spans="2:7" hidden="1" outlineLevel="2">
      <c r="B84" s="330" t="s">
        <v>192</v>
      </c>
      <c r="C84" s="121" t="s">
        <v>193</v>
      </c>
      <c r="D84" s="332" t="s">
        <v>57</v>
      </c>
      <c r="E84" s="332">
        <v>847.35</v>
      </c>
      <c r="F84" s="325">
        <v>10.27</v>
      </c>
      <c r="G84" s="436">
        <f>ROUND(E84*F84,2)</f>
        <v>8702.2800000000007</v>
      </c>
    </row>
    <row r="85" spans="2:7" hidden="1" outlineLevel="1" collapsed="1">
      <c r="B85" s="331" t="s">
        <v>194</v>
      </c>
      <c r="C85" s="324" t="s">
        <v>195</v>
      </c>
      <c r="D85" s="332"/>
      <c r="E85" s="332"/>
      <c r="F85" s="325"/>
      <c r="G85" s="435">
        <f>+SUBTOTAL(9,G86:G153)</f>
        <v>106177.08</v>
      </c>
    </row>
    <row r="86" spans="2:7" hidden="1" outlineLevel="2">
      <c r="B86" s="331" t="s">
        <v>196</v>
      </c>
      <c r="C86" s="324" t="s">
        <v>54</v>
      </c>
      <c r="D86" s="332"/>
      <c r="E86" s="332"/>
      <c r="F86" s="325"/>
      <c r="G86" s="435">
        <f>+SUBTOTAL(9,G87:G88)</f>
        <v>7961.04</v>
      </c>
    </row>
    <row r="87" spans="2:7" hidden="1" outlineLevel="2">
      <c r="B87" s="330" t="s">
        <v>197</v>
      </c>
      <c r="C87" s="121" t="s">
        <v>56</v>
      </c>
      <c r="D87" s="332" t="s">
        <v>57</v>
      </c>
      <c r="E87" s="332">
        <v>59.88</v>
      </c>
      <c r="F87" s="325">
        <v>68.64</v>
      </c>
      <c r="G87" s="436">
        <f>ROUND(E87*F87,2)</f>
        <v>4110.16</v>
      </c>
    </row>
    <row r="88" spans="2:7" hidden="1" outlineLevel="2">
      <c r="B88" s="330" t="s">
        <v>198</v>
      </c>
      <c r="C88" s="121" t="s">
        <v>199</v>
      </c>
      <c r="D88" s="332" t="s">
        <v>57</v>
      </c>
      <c r="E88" s="332">
        <v>59.88</v>
      </c>
      <c r="F88" s="325">
        <v>64.31</v>
      </c>
      <c r="G88" s="436">
        <f>ROUND(E88*F88,2)</f>
        <v>3850.88</v>
      </c>
    </row>
    <row r="89" spans="2:7" hidden="1" outlineLevel="2">
      <c r="B89" s="331" t="s">
        <v>200</v>
      </c>
      <c r="C89" s="324" t="s">
        <v>66</v>
      </c>
      <c r="D89" s="332"/>
      <c r="E89" s="332"/>
      <c r="F89" s="325"/>
      <c r="G89" s="435">
        <f>+SUBTOTAL(9,G90:G93)</f>
        <v>8457.5</v>
      </c>
    </row>
    <row r="90" spans="2:7" hidden="1" outlineLevel="2">
      <c r="B90" s="330" t="s">
        <v>201</v>
      </c>
      <c r="C90" s="121" t="s">
        <v>71</v>
      </c>
      <c r="D90" s="332" t="s">
        <v>69</v>
      </c>
      <c r="E90" s="332">
        <v>24.24</v>
      </c>
      <c r="F90" s="325">
        <v>294</v>
      </c>
      <c r="G90" s="436">
        <f>ROUND(E90*F90,2)</f>
        <v>7126.56</v>
      </c>
    </row>
    <row r="91" spans="2:7" hidden="1" outlineLevel="2">
      <c r="B91" s="330" t="s">
        <v>202</v>
      </c>
      <c r="C91" s="121" t="s">
        <v>73</v>
      </c>
      <c r="D91" s="332" t="s">
        <v>57</v>
      </c>
      <c r="E91" s="332">
        <v>46.43</v>
      </c>
      <c r="F91" s="325">
        <v>14.12</v>
      </c>
      <c r="G91" s="436">
        <f>ROUND(E91*F91,2)</f>
        <v>655.59</v>
      </c>
    </row>
    <row r="92" spans="2:7" hidden="1" outlineLevel="2">
      <c r="B92" s="330" t="s">
        <v>203</v>
      </c>
      <c r="C92" s="121" t="s">
        <v>75</v>
      </c>
      <c r="D92" s="332" t="s">
        <v>69</v>
      </c>
      <c r="E92" s="332">
        <v>3.56</v>
      </c>
      <c r="F92" s="325">
        <v>96.56</v>
      </c>
      <c r="G92" s="436">
        <f>ROUND(E92*F92,2)</f>
        <v>343.75</v>
      </c>
    </row>
    <row r="93" spans="2:7" hidden="1" outlineLevel="2">
      <c r="B93" s="330" t="s">
        <v>204</v>
      </c>
      <c r="C93" s="121" t="s">
        <v>77</v>
      </c>
      <c r="D93" s="332" t="s">
        <v>69</v>
      </c>
      <c r="E93" s="332">
        <v>24.24</v>
      </c>
      <c r="F93" s="325">
        <v>13.68</v>
      </c>
      <c r="G93" s="436">
        <f>ROUND(E93*F93,2)</f>
        <v>331.6</v>
      </c>
    </row>
    <row r="94" spans="2:7" hidden="1" outlineLevel="2">
      <c r="B94" s="331" t="s">
        <v>205</v>
      </c>
      <c r="C94" s="324" t="s">
        <v>79</v>
      </c>
      <c r="D94" s="332"/>
      <c r="E94" s="332"/>
      <c r="F94" s="325"/>
      <c r="G94" s="435">
        <f>+SUBTOTAL(9,G95:G100)</f>
        <v>4623.9799999999996</v>
      </c>
    </row>
    <row r="95" spans="2:7" hidden="1" outlineLevel="2">
      <c r="B95" s="330" t="s">
        <v>206</v>
      </c>
      <c r="C95" s="121" t="s">
        <v>81</v>
      </c>
      <c r="D95" s="332" t="s">
        <v>69</v>
      </c>
      <c r="E95" s="332">
        <v>4.09</v>
      </c>
      <c r="F95" s="325">
        <v>398.62</v>
      </c>
      <c r="G95" s="436">
        <f t="shared" ref="G95:G100" si="1">ROUND(E95*F95,2)</f>
        <v>1630.36</v>
      </c>
    </row>
    <row r="96" spans="2:7" hidden="1" outlineLevel="2">
      <c r="B96" s="330" t="s">
        <v>207</v>
      </c>
      <c r="C96" s="121" t="s">
        <v>208</v>
      </c>
      <c r="D96" s="332" t="s">
        <v>69</v>
      </c>
      <c r="E96" s="332">
        <v>4.01</v>
      </c>
      <c r="F96" s="325">
        <v>372.28</v>
      </c>
      <c r="G96" s="436">
        <f t="shared" si="1"/>
        <v>1492.84</v>
      </c>
    </row>
    <row r="97" spans="2:7" hidden="1" outlineLevel="2">
      <c r="B97" s="330" t="s">
        <v>209</v>
      </c>
      <c r="C97" s="121" t="s">
        <v>210</v>
      </c>
      <c r="D97" s="332" t="s">
        <v>69</v>
      </c>
      <c r="E97" s="332">
        <v>0.31</v>
      </c>
      <c r="F97" s="325">
        <v>482.43</v>
      </c>
      <c r="G97" s="436">
        <f t="shared" si="1"/>
        <v>149.55000000000001</v>
      </c>
    </row>
    <row r="98" spans="2:7" hidden="1" outlineLevel="2">
      <c r="B98" s="330" t="s">
        <v>211</v>
      </c>
      <c r="C98" s="121" t="s">
        <v>212</v>
      </c>
      <c r="D98" s="332" t="s">
        <v>57</v>
      </c>
      <c r="E98" s="332">
        <v>3.38</v>
      </c>
      <c r="F98" s="325">
        <v>45</v>
      </c>
      <c r="G98" s="436">
        <f t="shared" si="1"/>
        <v>152.1</v>
      </c>
    </row>
    <row r="99" spans="2:7" hidden="1" outlineLevel="2">
      <c r="B99" s="330" t="s">
        <v>213</v>
      </c>
      <c r="C99" s="121" t="s">
        <v>214</v>
      </c>
      <c r="D99" s="332" t="s">
        <v>69</v>
      </c>
      <c r="E99" s="332">
        <v>1.77</v>
      </c>
      <c r="F99" s="325">
        <v>571.69000000000005</v>
      </c>
      <c r="G99" s="436">
        <f t="shared" si="1"/>
        <v>1011.89</v>
      </c>
    </row>
    <row r="100" spans="2:7" hidden="1" outlineLevel="2">
      <c r="B100" s="330" t="s">
        <v>215</v>
      </c>
      <c r="C100" s="121" t="s">
        <v>216</v>
      </c>
      <c r="D100" s="332" t="s">
        <v>57</v>
      </c>
      <c r="E100" s="332">
        <v>4.22</v>
      </c>
      <c r="F100" s="325">
        <v>44.37</v>
      </c>
      <c r="G100" s="436">
        <f t="shared" si="1"/>
        <v>187.24</v>
      </c>
    </row>
    <row r="101" spans="2:7" hidden="1" outlineLevel="2">
      <c r="B101" s="331" t="s">
        <v>217</v>
      </c>
      <c r="C101" s="324" t="s">
        <v>85</v>
      </c>
      <c r="D101" s="332"/>
      <c r="E101" s="332"/>
      <c r="F101" s="325"/>
      <c r="G101" s="435">
        <f>+SUBTOTAL(9,G102:G123)</f>
        <v>48352.619999999988</v>
      </c>
    </row>
    <row r="102" spans="2:7" hidden="1" outlineLevel="2">
      <c r="B102" s="331" t="s">
        <v>218</v>
      </c>
      <c r="C102" s="324" t="s">
        <v>87</v>
      </c>
      <c r="D102" s="332"/>
      <c r="E102" s="332"/>
      <c r="F102" s="325"/>
      <c r="G102" s="435">
        <f>+SUBTOTAL(9,G103:G104)</f>
        <v>2392.56</v>
      </c>
    </row>
    <row r="103" spans="2:7" hidden="1" outlineLevel="2">
      <c r="B103" s="330" t="s">
        <v>219</v>
      </c>
      <c r="C103" s="121" t="s">
        <v>220</v>
      </c>
      <c r="D103" s="332" t="s">
        <v>69</v>
      </c>
      <c r="E103" s="332">
        <v>3.93</v>
      </c>
      <c r="F103" s="325">
        <v>417.1</v>
      </c>
      <c r="G103" s="436">
        <f>ROUND(E103*F103,2)</f>
        <v>1639.2</v>
      </c>
    </row>
    <row r="104" spans="2:7" hidden="1" outlineLevel="2">
      <c r="B104" s="330" t="s">
        <v>221</v>
      </c>
      <c r="C104" s="121" t="s">
        <v>93</v>
      </c>
      <c r="D104" s="332" t="s">
        <v>94</v>
      </c>
      <c r="E104" s="332">
        <v>102.22</v>
      </c>
      <c r="F104" s="325">
        <v>7.37</v>
      </c>
      <c r="G104" s="436">
        <f>ROUND(E104*F104,2)</f>
        <v>753.36</v>
      </c>
    </row>
    <row r="105" spans="2:7" hidden="1" outlineLevel="2">
      <c r="B105" s="331" t="s">
        <v>222</v>
      </c>
      <c r="C105" s="324" t="s">
        <v>96</v>
      </c>
      <c r="D105" s="332"/>
      <c r="E105" s="332"/>
      <c r="F105" s="325"/>
      <c r="G105" s="435">
        <f>+SUBTOTAL(9,G106:G107)</f>
        <v>4039.31</v>
      </c>
    </row>
    <row r="106" spans="2:7" hidden="1" outlineLevel="2">
      <c r="B106" s="330" t="s">
        <v>223</v>
      </c>
      <c r="C106" s="121" t="s">
        <v>224</v>
      </c>
      <c r="D106" s="332" t="s">
        <v>69</v>
      </c>
      <c r="E106" s="332">
        <v>5.56</v>
      </c>
      <c r="F106" s="325">
        <v>417.1</v>
      </c>
      <c r="G106" s="436">
        <f>ROUND(E106*F106,2)</f>
        <v>2319.08</v>
      </c>
    </row>
    <row r="107" spans="2:7" hidden="1" outlineLevel="2">
      <c r="B107" s="330" t="s">
        <v>225</v>
      </c>
      <c r="C107" s="121" t="s">
        <v>100</v>
      </c>
      <c r="D107" s="332" t="s">
        <v>94</v>
      </c>
      <c r="E107" s="332">
        <v>233.41</v>
      </c>
      <c r="F107" s="325">
        <v>7.37</v>
      </c>
      <c r="G107" s="436">
        <f>ROUND(E107*F107,2)</f>
        <v>1720.23</v>
      </c>
    </row>
    <row r="108" spans="2:7" hidden="1" outlineLevel="2">
      <c r="B108" s="331" t="s">
        <v>226</v>
      </c>
      <c r="C108" s="324" t="s">
        <v>227</v>
      </c>
      <c r="D108" s="332"/>
      <c r="E108" s="332"/>
      <c r="F108" s="325"/>
      <c r="G108" s="435">
        <f>+SUBTOTAL(9,G109:G111)</f>
        <v>8300.02</v>
      </c>
    </row>
    <row r="109" spans="2:7" hidden="1" outlineLevel="2">
      <c r="B109" s="330" t="s">
        <v>228</v>
      </c>
      <c r="C109" s="121" t="s">
        <v>229</v>
      </c>
      <c r="D109" s="332" t="s">
        <v>69</v>
      </c>
      <c r="E109" s="332">
        <v>3.23</v>
      </c>
      <c r="F109" s="325">
        <v>427.59</v>
      </c>
      <c r="G109" s="436">
        <f>ROUND(E109*F109,2)</f>
        <v>1381.12</v>
      </c>
    </row>
    <row r="110" spans="2:7" hidden="1" outlineLevel="2">
      <c r="B110" s="330" t="s">
        <v>230</v>
      </c>
      <c r="C110" s="121" t="s">
        <v>231</v>
      </c>
      <c r="D110" s="332" t="s">
        <v>57</v>
      </c>
      <c r="E110" s="332">
        <v>43.11</v>
      </c>
      <c r="F110" s="325">
        <v>65.900000000000006</v>
      </c>
      <c r="G110" s="436">
        <f>ROUND(E110*F110,2)</f>
        <v>2840.95</v>
      </c>
    </row>
    <row r="111" spans="2:7" hidden="1" outlineLevel="2">
      <c r="B111" s="330" t="s">
        <v>232</v>
      </c>
      <c r="C111" s="121" t="s">
        <v>233</v>
      </c>
      <c r="D111" s="332" t="s">
        <v>94</v>
      </c>
      <c r="E111" s="332">
        <v>545.17999999999995</v>
      </c>
      <c r="F111" s="325">
        <v>7.48</v>
      </c>
      <c r="G111" s="436">
        <f>ROUND(E111*F111,2)</f>
        <v>4077.95</v>
      </c>
    </row>
    <row r="112" spans="2:7" hidden="1" outlineLevel="2">
      <c r="B112" s="331" t="s">
        <v>234</v>
      </c>
      <c r="C112" s="324" t="s">
        <v>235</v>
      </c>
      <c r="D112" s="332"/>
      <c r="E112" s="332"/>
      <c r="F112" s="325"/>
      <c r="G112" s="435">
        <f>+SUBTOTAL(9,G113:G115)</f>
        <v>15574.29</v>
      </c>
    </row>
    <row r="113" spans="2:7" hidden="1" outlineLevel="2">
      <c r="B113" s="330" t="s">
        <v>236</v>
      </c>
      <c r="C113" s="121" t="s">
        <v>237</v>
      </c>
      <c r="D113" s="332" t="s">
        <v>69</v>
      </c>
      <c r="E113" s="332">
        <v>9.4499999999999993</v>
      </c>
      <c r="F113" s="325">
        <v>427.59</v>
      </c>
      <c r="G113" s="436">
        <f>ROUND(E113*F113,2)</f>
        <v>4040.73</v>
      </c>
    </row>
    <row r="114" spans="2:7" hidden="1" outlineLevel="2">
      <c r="B114" s="330" t="s">
        <v>238</v>
      </c>
      <c r="C114" s="121" t="s">
        <v>106</v>
      </c>
      <c r="D114" s="332" t="s">
        <v>57</v>
      </c>
      <c r="E114" s="332">
        <v>124.95</v>
      </c>
      <c r="F114" s="325">
        <v>64.8</v>
      </c>
      <c r="G114" s="436">
        <f>ROUND(E114*F114,2)</f>
        <v>8096.76</v>
      </c>
    </row>
    <row r="115" spans="2:7" hidden="1" outlineLevel="2">
      <c r="B115" s="330" t="s">
        <v>239</v>
      </c>
      <c r="C115" s="121" t="s">
        <v>108</v>
      </c>
      <c r="D115" s="332" t="s">
        <v>94</v>
      </c>
      <c r="E115" s="332">
        <v>457.63</v>
      </c>
      <c r="F115" s="325">
        <v>7.51</v>
      </c>
      <c r="G115" s="436">
        <f>ROUND(E115*F115,2)</f>
        <v>3436.8</v>
      </c>
    </row>
    <row r="116" spans="2:7" hidden="1" outlineLevel="2">
      <c r="B116" s="331" t="s">
        <v>240</v>
      </c>
      <c r="C116" s="324" t="s">
        <v>241</v>
      </c>
      <c r="D116" s="332"/>
      <c r="E116" s="332"/>
      <c r="F116" s="325"/>
      <c r="G116" s="435">
        <f>+SUBTOTAL(9,G117:G119)</f>
        <v>8539.84</v>
      </c>
    </row>
    <row r="117" spans="2:7" hidden="1" outlineLevel="2">
      <c r="B117" s="330" t="s">
        <v>242</v>
      </c>
      <c r="C117" s="121" t="s">
        <v>243</v>
      </c>
      <c r="D117" s="332" t="s">
        <v>69</v>
      </c>
      <c r="E117" s="332">
        <v>3.51</v>
      </c>
      <c r="F117" s="325">
        <v>427.59</v>
      </c>
      <c r="G117" s="436">
        <f>ROUND(E117*F117,2)</f>
        <v>1500.84</v>
      </c>
    </row>
    <row r="118" spans="2:7" hidden="1" outlineLevel="2">
      <c r="B118" s="330" t="s">
        <v>244</v>
      </c>
      <c r="C118" s="121" t="s">
        <v>122</v>
      </c>
      <c r="D118" s="332" t="s">
        <v>57</v>
      </c>
      <c r="E118" s="332">
        <v>27.93</v>
      </c>
      <c r="F118" s="325">
        <v>75.39</v>
      </c>
      <c r="G118" s="436">
        <f>ROUND(E118*F118,2)</f>
        <v>2105.64</v>
      </c>
    </row>
    <row r="119" spans="2:7" hidden="1" outlineLevel="2">
      <c r="B119" s="330" t="s">
        <v>245</v>
      </c>
      <c r="C119" s="121" t="s">
        <v>246</v>
      </c>
      <c r="D119" s="332" t="s">
        <v>94</v>
      </c>
      <c r="E119" s="332">
        <v>659.54</v>
      </c>
      <c r="F119" s="325">
        <v>7.48</v>
      </c>
      <c r="G119" s="436">
        <f>ROUND(E119*F119,2)</f>
        <v>4933.3599999999997</v>
      </c>
    </row>
    <row r="120" spans="2:7" hidden="1" outlineLevel="2">
      <c r="B120" s="331" t="s">
        <v>247</v>
      </c>
      <c r="C120" s="324" t="s">
        <v>248</v>
      </c>
      <c r="D120" s="332"/>
      <c r="E120" s="332"/>
      <c r="F120" s="325"/>
      <c r="G120" s="435">
        <f>+SUBTOTAL(9,G121:G123)</f>
        <v>9506.5999999999985</v>
      </c>
    </row>
    <row r="121" spans="2:7" hidden="1" outlineLevel="2">
      <c r="B121" s="330" t="s">
        <v>249</v>
      </c>
      <c r="C121" s="121" t="s">
        <v>250</v>
      </c>
      <c r="D121" s="332" t="s">
        <v>69</v>
      </c>
      <c r="E121" s="332">
        <v>6.81</v>
      </c>
      <c r="F121" s="325">
        <v>417.1</v>
      </c>
      <c r="G121" s="436">
        <f>ROUND(E121*F121,2)</f>
        <v>2840.45</v>
      </c>
    </row>
    <row r="122" spans="2:7" hidden="1" outlineLevel="2">
      <c r="B122" s="330" t="s">
        <v>251</v>
      </c>
      <c r="C122" s="121" t="s">
        <v>252</v>
      </c>
      <c r="D122" s="332" t="s">
        <v>57</v>
      </c>
      <c r="E122" s="332">
        <v>50.26</v>
      </c>
      <c r="F122" s="325">
        <v>60.67</v>
      </c>
      <c r="G122" s="436">
        <f>ROUND(E122*F122,2)</f>
        <v>3049.27</v>
      </c>
    </row>
    <row r="123" spans="2:7" hidden="1" outlineLevel="2">
      <c r="B123" s="330" t="s">
        <v>253</v>
      </c>
      <c r="C123" s="121" t="s">
        <v>254</v>
      </c>
      <c r="D123" s="332" t="s">
        <v>94</v>
      </c>
      <c r="E123" s="332">
        <v>483.54</v>
      </c>
      <c r="F123" s="325">
        <v>7.48</v>
      </c>
      <c r="G123" s="436">
        <f>ROUND(E123*F123,2)</f>
        <v>3616.88</v>
      </c>
    </row>
    <row r="124" spans="2:7" hidden="1" outlineLevel="2">
      <c r="B124" s="331" t="s">
        <v>255</v>
      </c>
      <c r="C124" s="324" t="s">
        <v>134</v>
      </c>
      <c r="D124" s="332"/>
      <c r="E124" s="332"/>
      <c r="F124" s="325"/>
      <c r="G124" s="435">
        <f>+SUBTOTAL(9,G125:G136)</f>
        <v>13945.630000000001</v>
      </c>
    </row>
    <row r="125" spans="2:7" ht="30" hidden="1" outlineLevel="2">
      <c r="B125" s="330" t="s">
        <v>256</v>
      </c>
      <c r="C125" s="121" t="s">
        <v>257</v>
      </c>
      <c r="D125" s="332" t="s">
        <v>57</v>
      </c>
      <c r="E125" s="332">
        <v>103.84</v>
      </c>
      <c r="F125" s="325">
        <v>27.37</v>
      </c>
      <c r="G125" s="436">
        <f t="shared" ref="G125:G136" si="2">ROUND(E125*F125,2)</f>
        <v>2842.1</v>
      </c>
    </row>
    <row r="126" spans="2:7" ht="30" hidden="1" outlineLevel="2">
      <c r="B126" s="330" t="s">
        <v>258</v>
      </c>
      <c r="C126" s="121" t="s">
        <v>259</v>
      </c>
      <c r="D126" s="332" t="s">
        <v>57</v>
      </c>
      <c r="E126" s="332">
        <v>103.84</v>
      </c>
      <c r="F126" s="325">
        <v>27.37</v>
      </c>
      <c r="G126" s="436">
        <f t="shared" si="2"/>
        <v>2842.1</v>
      </c>
    </row>
    <row r="127" spans="2:7" ht="30" hidden="1" outlineLevel="2">
      <c r="B127" s="330" t="s">
        <v>260</v>
      </c>
      <c r="C127" s="121" t="s">
        <v>261</v>
      </c>
      <c r="D127" s="332" t="s">
        <v>57</v>
      </c>
      <c r="E127" s="332">
        <v>59.35</v>
      </c>
      <c r="F127" s="325">
        <v>27.37</v>
      </c>
      <c r="G127" s="436">
        <f t="shared" si="2"/>
        <v>1624.41</v>
      </c>
    </row>
    <row r="128" spans="2:7" ht="30" hidden="1" outlineLevel="2">
      <c r="B128" s="330" t="s">
        <v>262</v>
      </c>
      <c r="C128" s="121" t="s">
        <v>263</v>
      </c>
      <c r="D128" s="332" t="s">
        <v>57</v>
      </c>
      <c r="E128" s="332">
        <v>59.35</v>
      </c>
      <c r="F128" s="325">
        <v>27.37</v>
      </c>
      <c r="G128" s="436">
        <f t="shared" si="2"/>
        <v>1624.41</v>
      </c>
    </row>
    <row r="129" spans="2:7" ht="30" hidden="1" outlineLevel="2">
      <c r="B129" s="330" t="s">
        <v>264</v>
      </c>
      <c r="C129" s="121" t="s">
        <v>265</v>
      </c>
      <c r="D129" s="332" t="s">
        <v>57</v>
      </c>
      <c r="E129" s="332">
        <v>45.3</v>
      </c>
      <c r="F129" s="325">
        <v>27.37</v>
      </c>
      <c r="G129" s="436">
        <f t="shared" si="2"/>
        <v>1239.8599999999999</v>
      </c>
    </row>
    <row r="130" spans="2:7" ht="30" hidden="1" outlineLevel="2">
      <c r="B130" s="330" t="s">
        <v>266</v>
      </c>
      <c r="C130" s="121" t="s">
        <v>267</v>
      </c>
      <c r="D130" s="332" t="s">
        <v>57</v>
      </c>
      <c r="E130" s="332">
        <v>45.3</v>
      </c>
      <c r="F130" s="325">
        <v>27.37</v>
      </c>
      <c r="G130" s="436">
        <f t="shared" si="2"/>
        <v>1239.8599999999999</v>
      </c>
    </row>
    <row r="131" spans="2:7" ht="30" hidden="1" outlineLevel="2">
      <c r="B131" s="330" t="s">
        <v>268</v>
      </c>
      <c r="C131" s="121" t="s">
        <v>269</v>
      </c>
      <c r="D131" s="332" t="s">
        <v>57</v>
      </c>
      <c r="E131" s="332">
        <v>4.96</v>
      </c>
      <c r="F131" s="325">
        <v>27.37</v>
      </c>
      <c r="G131" s="436">
        <f t="shared" si="2"/>
        <v>135.76</v>
      </c>
    </row>
    <row r="132" spans="2:7" ht="30" hidden="1" outlineLevel="2">
      <c r="B132" s="330" t="s">
        <v>270</v>
      </c>
      <c r="C132" s="121" t="s">
        <v>271</v>
      </c>
      <c r="D132" s="332" t="s">
        <v>57</v>
      </c>
      <c r="E132" s="332">
        <v>4.96</v>
      </c>
      <c r="F132" s="325">
        <v>27.37</v>
      </c>
      <c r="G132" s="436">
        <f t="shared" si="2"/>
        <v>135.76</v>
      </c>
    </row>
    <row r="133" spans="2:7" ht="30" hidden="1" outlineLevel="2">
      <c r="B133" s="330" t="s">
        <v>272</v>
      </c>
      <c r="C133" s="121" t="s">
        <v>273</v>
      </c>
      <c r="D133" s="332" t="s">
        <v>57</v>
      </c>
      <c r="E133" s="332">
        <v>1.1599999999999999</v>
      </c>
      <c r="F133" s="325">
        <v>27.37</v>
      </c>
      <c r="G133" s="436">
        <f t="shared" si="2"/>
        <v>31.75</v>
      </c>
    </row>
    <row r="134" spans="2:7" ht="30" hidden="1" outlineLevel="2">
      <c r="B134" s="330" t="s">
        <v>274</v>
      </c>
      <c r="C134" s="121" t="s">
        <v>275</v>
      </c>
      <c r="D134" s="332" t="s">
        <v>57</v>
      </c>
      <c r="E134" s="332">
        <v>1.1599999999999999</v>
      </c>
      <c r="F134" s="325">
        <v>27.37</v>
      </c>
      <c r="G134" s="436">
        <f t="shared" si="2"/>
        <v>31.75</v>
      </c>
    </row>
    <row r="135" spans="2:7" hidden="1" outlineLevel="2">
      <c r="B135" s="330" t="s">
        <v>276</v>
      </c>
      <c r="C135" s="121" t="s">
        <v>277</v>
      </c>
      <c r="D135" s="332" t="s">
        <v>64</v>
      </c>
      <c r="E135" s="332">
        <v>42.64</v>
      </c>
      <c r="F135" s="325">
        <v>17.440000000000001</v>
      </c>
      <c r="G135" s="436">
        <f t="shared" si="2"/>
        <v>743.64</v>
      </c>
    </row>
    <row r="136" spans="2:7" hidden="1" outlineLevel="2">
      <c r="B136" s="330" t="s">
        <v>278</v>
      </c>
      <c r="C136" s="121" t="s">
        <v>279</v>
      </c>
      <c r="D136" s="332" t="s">
        <v>57</v>
      </c>
      <c r="E136" s="332">
        <v>340.57</v>
      </c>
      <c r="F136" s="325">
        <v>4.2699999999999996</v>
      </c>
      <c r="G136" s="436">
        <f t="shared" si="2"/>
        <v>1454.23</v>
      </c>
    </row>
    <row r="137" spans="2:7" hidden="1" outlineLevel="2">
      <c r="B137" s="331" t="s">
        <v>280</v>
      </c>
      <c r="C137" s="324" t="s">
        <v>158</v>
      </c>
      <c r="D137" s="332"/>
      <c r="E137" s="332"/>
      <c r="F137" s="325"/>
      <c r="G137" s="435">
        <f>+SUBTOTAL(9,G138:G139)</f>
        <v>2460.16</v>
      </c>
    </row>
    <row r="138" spans="2:7" hidden="1" outlineLevel="2">
      <c r="B138" s="330" t="s">
        <v>281</v>
      </c>
      <c r="C138" s="121" t="s">
        <v>282</v>
      </c>
      <c r="D138" s="332" t="s">
        <v>57</v>
      </c>
      <c r="E138" s="332">
        <v>37.049999999999997</v>
      </c>
      <c r="F138" s="325">
        <v>25.81</v>
      </c>
      <c r="G138" s="436">
        <f>ROUND(E138*F138,2)</f>
        <v>956.26</v>
      </c>
    </row>
    <row r="139" spans="2:7" hidden="1" outlineLevel="2">
      <c r="B139" s="330" t="s">
        <v>283</v>
      </c>
      <c r="C139" s="121" t="s">
        <v>160</v>
      </c>
      <c r="D139" s="332" t="s">
        <v>57</v>
      </c>
      <c r="E139" s="332">
        <v>22.5</v>
      </c>
      <c r="F139" s="325">
        <v>66.84</v>
      </c>
      <c r="G139" s="436">
        <f>ROUND(E139*F139,2)</f>
        <v>1503.9</v>
      </c>
    </row>
    <row r="140" spans="2:7" hidden="1" outlineLevel="2">
      <c r="B140" s="331" t="s">
        <v>284</v>
      </c>
      <c r="C140" s="324" t="s">
        <v>162</v>
      </c>
      <c r="D140" s="332"/>
      <c r="E140" s="332"/>
      <c r="F140" s="325"/>
      <c r="G140" s="435">
        <f>+SUBTOTAL(9,G141:G144)</f>
        <v>15170.680000000002</v>
      </c>
    </row>
    <row r="141" spans="2:7" hidden="1" outlineLevel="2">
      <c r="B141" s="330" t="s">
        <v>285</v>
      </c>
      <c r="C141" s="121" t="s">
        <v>286</v>
      </c>
      <c r="D141" s="332" t="s">
        <v>287</v>
      </c>
      <c r="E141" s="332">
        <v>3</v>
      </c>
      <c r="F141" s="325">
        <v>3753</v>
      </c>
      <c r="G141" s="436">
        <f>ROUND(E141*F141,2)</f>
        <v>11259</v>
      </c>
    </row>
    <row r="142" spans="2:7" hidden="1" outlineLevel="2">
      <c r="B142" s="330" t="s">
        <v>288</v>
      </c>
      <c r="C142" s="121" t="s">
        <v>289</v>
      </c>
      <c r="D142" s="332" t="s">
        <v>287</v>
      </c>
      <c r="E142" s="332">
        <v>1</v>
      </c>
      <c r="F142" s="325">
        <v>815.11</v>
      </c>
      <c r="G142" s="436">
        <f>ROUND(E142*F142,2)</f>
        <v>815.11</v>
      </c>
    </row>
    <row r="143" spans="2:7" hidden="1" outlineLevel="2">
      <c r="B143" s="330" t="s">
        <v>290</v>
      </c>
      <c r="C143" s="121" t="s">
        <v>291</v>
      </c>
      <c r="D143" s="332" t="s">
        <v>64</v>
      </c>
      <c r="E143" s="332">
        <v>2.7</v>
      </c>
      <c r="F143" s="325">
        <v>744.18</v>
      </c>
      <c r="G143" s="436">
        <f>ROUND(E143*F143,2)</f>
        <v>2009.29</v>
      </c>
    </row>
    <row r="144" spans="2:7" ht="30" hidden="1" outlineLevel="2">
      <c r="B144" s="330" t="s">
        <v>290</v>
      </c>
      <c r="C144" s="121" t="s">
        <v>168</v>
      </c>
      <c r="D144" s="332" t="s">
        <v>287</v>
      </c>
      <c r="E144" s="332">
        <v>1</v>
      </c>
      <c r="F144" s="325">
        <v>1087.28</v>
      </c>
      <c r="G144" s="436">
        <f>ROUND(E144*F144,2)</f>
        <v>1087.28</v>
      </c>
    </row>
    <row r="145" spans="2:7" hidden="1" outlineLevel="2">
      <c r="B145" s="331" t="s">
        <v>292</v>
      </c>
      <c r="C145" s="324" t="s">
        <v>174</v>
      </c>
      <c r="D145" s="332"/>
      <c r="E145" s="332"/>
      <c r="F145" s="325"/>
      <c r="G145" s="435">
        <f>+SUBTOTAL(9,G146:G148)</f>
        <v>2256.9299999999998</v>
      </c>
    </row>
    <row r="146" spans="2:7" hidden="1" outlineLevel="2">
      <c r="B146" s="330" t="s">
        <v>293</v>
      </c>
      <c r="C146" s="121" t="s">
        <v>294</v>
      </c>
      <c r="D146" s="332" t="s">
        <v>57</v>
      </c>
      <c r="E146" s="332">
        <v>103.84</v>
      </c>
      <c r="F146" s="325">
        <v>9.8000000000000007</v>
      </c>
      <c r="G146" s="436">
        <f>ROUND(E146*F146,2)</f>
        <v>1017.63</v>
      </c>
    </row>
    <row r="147" spans="2:7" hidden="1" outlineLevel="2">
      <c r="B147" s="330" t="s">
        <v>295</v>
      </c>
      <c r="C147" s="121" t="s">
        <v>296</v>
      </c>
      <c r="D147" s="332" t="s">
        <v>57</v>
      </c>
      <c r="E147" s="332">
        <v>59.35</v>
      </c>
      <c r="F147" s="325">
        <v>10.32</v>
      </c>
      <c r="G147" s="436">
        <f>ROUND(E147*F147,2)</f>
        <v>612.49</v>
      </c>
    </row>
    <row r="148" spans="2:7" hidden="1" outlineLevel="2">
      <c r="B148" s="330" t="s">
        <v>297</v>
      </c>
      <c r="C148" s="121" t="s">
        <v>298</v>
      </c>
      <c r="D148" s="332" t="s">
        <v>57</v>
      </c>
      <c r="E148" s="332">
        <v>51.42</v>
      </c>
      <c r="F148" s="325">
        <v>12.19</v>
      </c>
      <c r="G148" s="436">
        <f>ROUND(E148*F148,2)</f>
        <v>626.80999999999995</v>
      </c>
    </row>
    <row r="149" spans="2:7" hidden="1" outlineLevel="2">
      <c r="B149" s="331" t="s">
        <v>299</v>
      </c>
      <c r="C149" s="324" t="s">
        <v>178</v>
      </c>
      <c r="D149" s="332"/>
      <c r="E149" s="332"/>
      <c r="F149" s="325"/>
      <c r="G149" s="435">
        <f>+SUBTOTAL(9,G150)</f>
        <v>315.14999999999998</v>
      </c>
    </row>
    <row r="150" spans="2:7" hidden="1" outlineLevel="2">
      <c r="B150" s="330" t="s">
        <v>300</v>
      </c>
      <c r="C150" s="121" t="s">
        <v>183</v>
      </c>
      <c r="D150" s="332" t="s">
        <v>43</v>
      </c>
      <c r="E150" s="332">
        <v>11</v>
      </c>
      <c r="F150" s="325">
        <v>28.65</v>
      </c>
      <c r="G150" s="436">
        <f>ROUND(E150*F150,2)</f>
        <v>315.14999999999998</v>
      </c>
    </row>
    <row r="151" spans="2:7" hidden="1" outlineLevel="2">
      <c r="B151" s="331" t="s">
        <v>301</v>
      </c>
      <c r="C151" s="324" t="s">
        <v>185</v>
      </c>
      <c r="D151" s="332"/>
      <c r="E151" s="332"/>
      <c r="F151" s="325"/>
      <c r="G151" s="435">
        <f>+SUBTOTAL(9,G152:G153)</f>
        <v>2633.39</v>
      </c>
    </row>
    <row r="152" spans="2:7" ht="30" hidden="1" outlineLevel="2">
      <c r="B152" s="330" t="s">
        <v>302</v>
      </c>
      <c r="C152" s="121" t="s">
        <v>189</v>
      </c>
      <c r="D152" s="332" t="s">
        <v>64</v>
      </c>
      <c r="E152" s="332">
        <v>5</v>
      </c>
      <c r="F152" s="325">
        <v>5.27</v>
      </c>
      <c r="G152" s="436">
        <f>ROUND(E152*F152,2)</f>
        <v>26.35</v>
      </c>
    </row>
    <row r="153" spans="2:7" hidden="1" outlineLevel="2">
      <c r="B153" s="330" t="s">
        <v>303</v>
      </c>
      <c r="C153" s="121" t="s">
        <v>193</v>
      </c>
      <c r="D153" s="332" t="s">
        <v>57</v>
      </c>
      <c r="E153" s="332">
        <v>253.85</v>
      </c>
      <c r="F153" s="325">
        <v>10.27</v>
      </c>
      <c r="G153" s="436">
        <f>ROUND(E153*F153,2)</f>
        <v>2607.04</v>
      </c>
    </row>
    <row r="154" spans="2:7" hidden="1" outlineLevel="1" collapsed="1">
      <c r="B154" s="331" t="s">
        <v>304</v>
      </c>
      <c r="C154" s="324" t="s">
        <v>305</v>
      </c>
      <c r="D154" s="332"/>
      <c r="E154" s="332"/>
      <c r="F154" s="325"/>
      <c r="G154" s="435">
        <f>+SUBTOTAL(9,G155:G248)</f>
        <v>41258.919999999976</v>
      </c>
    </row>
    <row r="155" spans="2:7" hidden="1" outlineLevel="2">
      <c r="B155" s="331" t="s">
        <v>306</v>
      </c>
      <c r="C155" s="324" t="s">
        <v>54</v>
      </c>
      <c r="D155" s="332"/>
      <c r="E155" s="332"/>
      <c r="F155" s="325"/>
      <c r="G155" s="435">
        <f>+SUBTOTAL(9,G156:G157)</f>
        <v>1865.29</v>
      </c>
    </row>
    <row r="156" spans="2:7" hidden="1" outlineLevel="2">
      <c r="B156" s="330" t="s">
        <v>307</v>
      </c>
      <c r="C156" s="121" t="s">
        <v>56</v>
      </c>
      <c r="D156" s="332" t="s">
        <v>57</v>
      </c>
      <c r="E156" s="332">
        <v>14.03</v>
      </c>
      <c r="F156" s="325">
        <v>68.64</v>
      </c>
      <c r="G156" s="436">
        <f>ROUND(E156*F156,2)</f>
        <v>963.02</v>
      </c>
    </row>
    <row r="157" spans="2:7" hidden="1" outlineLevel="2">
      <c r="B157" s="330" t="s">
        <v>308</v>
      </c>
      <c r="C157" s="121" t="s">
        <v>199</v>
      </c>
      <c r="D157" s="332" t="s">
        <v>57</v>
      </c>
      <c r="E157" s="332">
        <v>14.03</v>
      </c>
      <c r="F157" s="325">
        <v>64.31</v>
      </c>
      <c r="G157" s="436">
        <f>ROUND(E157*F157,2)</f>
        <v>902.27</v>
      </c>
    </row>
    <row r="158" spans="2:7" hidden="1" outlineLevel="2">
      <c r="B158" s="331" t="s">
        <v>309</v>
      </c>
      <c r="C158" s="324" t="s">
        <v>66</v>
      </c>
      <c r="D158" s="332"/>
      <c r="E158" s="332"/>
      <c r="F158" s="325"/>
      <c r="G158" s="435">
        <f>+SUBTOTAL(9,G159:G162)</f>
        <v>3592.47</v>
      </c>
    </row>
    <row r="159" spans="2:7" hidden="1" outlineLevel="2">
      <c r="B159" s="330" t="s">
        <v>310</v>
      </c>
      <c r="C159" s="121" t="s">
        <v>311</v>
      </c>
      <c r="D159" s="332" t="s">
        <v>69</v>
      </c>
      <c r="E159" s="332">
        <v>10.99</v>
      </c>
      <c r="F159" s="325">
        <v>264.68</v>
      </c>
      <c r="G159" s="436">
        <f>ROUND(E159*F159,2)</f>
        <v>2908.83</v>
      </c>
    </row>
    <row r="160" spans="2:7" hidden="1" outlineLevel="2">
      <c r="B160" s="330" t="s">
        <v>312</v>
      </c>
      <c r="C160" s="121" t="s">
        <v>73</v>
      </c>
      <c r="D160" s="332" t="s">
        <v>57</v>
      </c>
      <c r="E160" s="332">
        <v>14.04</v>
      </c>
      <c r="F160" s="325">
        <v>14.12</v>
      </c>
      <c r="G160" s="436">
        <f>ROUND(E160*F160,2)</f>
        <v>198.24</v>
      </c>
    </row>
    <row r="161" spans="2:7" hidden="1" outlineLevel="2">
      <c r="B161" s="330" t="s">
        <v>313</v>
      </c>
      <c r="C161" s="121" t="s">
        <v>75</v>
      </c>
      <c r="D161" s="332" t="s">
        <v>69</v>
      </c>
      <c r="E161" s="332">
        <v>3.47</v>
      </c>
      <c r="F161" s="325">
        <v>96.56</v>
      </c>
      <c r="G161" s="436">
        <f>ROUND(E161*F161,2)</f>
        <v>335.06</v>
      </c>
    </row>
    <row r="162" spans="2:7" hidden="1" outlineLevel="2">
      <c r="B162" s="330" t="s">
        <v>314</v>
      </c>
      <c r="C162" s="121" t="s">
        <v>77</v>
      </c>
      <c r="D162" s="332" t="s">
        <v>69</v>
      </c>
      <c r="E162" s="332">
        <v>10.99</v>
      </c>
      <c r="F162" s="325">
        <v>13.68</v>
      </c>
      <c r="G162" s="436">
        <f>ROUND(E162*F162,2)</f>
        <v>150.34</v>
      </c>
    </row>
    <row r="163" spans="2:7" hidden="1" outlineLevel="2">
      <c r="B163" s="331" t="s">
        <v>315</v>
      </c>
      <c r="C163" s="324" t="s">
        <v>79</v>
      </c>
      <c r="D163" s="332"/>
      <c r="E163" s="332"/>
      <c r="F163" s="325"/>
      <c r="G163" s="435">
        <f>+SUBTOTAL(9,G164:G167)</f>
        <v>2122.3099999999995</v>
      </c>
    </row>
    <row r="164" spans="2:7" hidden="1" outlineLevel="2">
      <c r="B164" s="330" t="s">
        <v>316</v>
      </c>
      <c r="C164" s="121" t="s">
        <v>81</v>
      </c>
      <c r="D164" s="332" t="s">
        <v>69</v>
      </c>
      <c r="E164" s="332">
        <v>0.44</v>
      </c>
      <c r="F164" s="325">
        <v>398.62</v>
      </c>
      <c r="G164" s="436">
        <f>ROUND(E164*F164,2)</f>
        <v>175.39</v>
      </c>
    </row>
    <row r="165" spans="2:7" hidden="1" outlineLevel="2">
      <c r="B165" s="330" t="s">
        <v>317</v>
      </c>
      <c r="C165" s="121" t="s">
        <v>318</v>
      </c>
      <c r="D165" s="332" t="s">
        <v>69</v>
      </c>
      <c r="E165" s="332">
        <v>2.42</v>
      </c>
      <c r="F165" s="325">
        <v>353.53</v>
      </c>
      <c r="G165" s="436">
        <f>ROUND(E165*F165,2)</f>
        <v>855.54</v>
      </c>
    </row>
    <row r="166" spans="2:7" hidden="1" outlineLevel="2">
      <c r="B166" s="330" t="s">
        <v>319</v>
      </c>
      <c r="C166" s="121" t="s">
        <v>320</v>
      </c>
      <c r="D166" s="332" t="s">
        <v>69</v>
      </c>
      <c r="E166" s="332">
        <v>1.03</v>
      </c>
      <c r="F166" s="325">
        <v>415.41</v>
      </c>
      <c r="G166" s="436">
        <f>ROUND(E166*F166,2)</f>
        <v>427.87</v>
      </c>
    </row>
    <row r="167" spans="2:7" hidden="1" outlineLevel="2">
      <c r="B167" s="330" t="s">
        <v>321</v>
      </c>
      <c r="C167" s="121" t="s">
        <v>322</v>
      </c>
      <c r="D167" s="332" t="s">
        <v>57</v>
      </c>
      <c r="E167" s="332">
        <v>13.76</v>
      </c>
      <c r="F167" s="325">
        <v>48.22</v>
      </c>
      <c r="G167" s="436">
        <f>ROUND(E167*F167,2)</f>
        <v>663.51</v>
      </c>
    </row>
    <row r="168" spans="2:7" hidden="1" outlineLevel="2">
      <c r="B168" s="331" t="s">
        <v>323</v>
      </c>
      <c r="C168" s="324" t="s">
        <v>85</v>
      </c>
      <c r="D168" s="332"/>
      <c r="E168" s="332"/>
      <c r="F168" s="325"/>
      <c r="G168" s="435">
        <f>+SUBTOTAL(9,G169:G183)</f>
        <v>10330.100000000002</v>
      </c>
    </row>
    <row r="169" spans="2:7" hidden="1" outlineLevel="2">
      <c r="B169" s="331" t="s">
        <v>324</v>
      </c>
      <c r="C169" s="324" t="s">
        <v>87</v>
      </c>
      <c r="D169" s="332"/>
      <c r="E169" s="332"/>
      <c r="F169" s="325"/>
      <c r="G169" s="435">
        <f>+SUBTOTAL(9,G170:G171)</f>
        <v>1367.71</v>
      </c>
    </row>
    <row r="170" spans="2:7" hidden="1" outlineLevel="2">
      <c r="B170" s="330" t="s">
        <v>325</v>
      </c>
      <c r="C170" s="121" t="s">
        <v>220</v>
      </c>
      <c r="D170" s="332" t="s">
        <v>69</v>
      </c>
      <c r="E170" s="332">
        <v>2.2000000000000002</v>
      </c>
      <c r="F170" s="325">
        <v>417.1</v>
      </c>
      <c r="G170" s="436">
        <f>ROUND(E170*F170,2)</f>
        <v>917.62</v>
      </c>
    </row>
    <row r="171" spans="2:7" hidden="1" outlineLevel="2">
      <c r="B171" s="330" t="s">
        <v>326</v>
      </c>
      <c r="C171" s="121" t="s">
        <v>93</v>
      </c>
      <c r="D171" s="332" t="s">
        <v>94</v>
      </c>
      <c r="E171" s="332">
        <v>61.07</v>
      </c>
      <c r="F171" s="325">
        <v>7.37</v>
      </c>
      <c r="G171" s="436">
        <f>ROUND(E171*F171,2)</f>
        <v>450.09</v>
      </c>
    </row>
    <row r="172" spans="2:7" hidden="1" outlineLevel="2">
      <c r="B172" s="331" t="s">
        <v>327</v>
      </c>
      <c r="C172" s="324" t="s">
        <v>227</v>
      </c>
      <c r="D172" s="332"/>
      <c r="E172" s="332"/>
      <c r="F172" s="325"/>
      <c r="G172" s="435">
        <f>+SUBTOTAL(9,G173:G175)</f>
        <v>2659.8</v>
      </c>
    </row>
    <row r="173" spans="2:7" hidden="1" outlineLevel="2">
      <c r="B173" s="330" t="s">
        <v>328</v>
      </c>
      <c r="C173" s="121" t="s">
        <v>229</v>
      </c>
      <c r="D173" s="332" t="s">
        <v>69</v>
      </c>
      <c r="E173" s="332">
        <v>0.9</v>
      </c>
      <c r="F173" s="325">
        <v>427.59</v>
      </c>
      <c r="G173" s="436">
        <f>ROUND(E173*F173,2)</f>
        <v>384.83</v>
      </c>
    </row>
    <row r="174" spans="2:7" hidden="1" outlineLevel="2">
      <c r="B174" s="330" t="s">
        <v>329</v>
      </c>
      <c r="C174" s="121" t="s">
        <v>231</v>
      </c>
      <c r="D174" s="332" t="s">
        <v>57</v>
      </c>
      <c r="E174" s="332">
        <v>13.8</v>
      </c>
      <c r="F174" s="325">
        <v>65.900000000000006</v>
      </c>
      <c r="G174" s="436">
        <f>ROUND(E174*F174,2)</f>
        <v>909.42</v>
      </c>
    </row>
    <row r="175" spans="2:7" hidden="1" outlineLevel="2">
      <c r="B175" s="330" t="s">
        <v>330</v>
      </c>
      <c r="C175" s="121" t="s">
        <v>233</v>
      </c>
      <c r="D175" s="332" t="s">
        <v>94</v>
      </c>
      <c r="E175" s="332">
        <v>182.56</v>
      </c>
      <c r="F175" s="325">
        <v>7.48</v>
      </c>
      <c r="G175" s="436">
        <f>ROUND(E175*F175,2)</f>
        <v>1365.55</v>
      </c>
    </row>
    <row r="176" spans="2:7" hidden="1" outlineLevel="2">
      <c r="B176" s="331" t="s">
        <v>331</v>
      </c>
      <c r="C176" s="324" t="s">
        <v>241</v>
      </c>
      <c r="D176" s="332"/>
      <c r="E176" s="332"/>
      <c r="F176" s="325"/>
      <c r="G176" s="435">
        <f>+SUBTOTAL(9,G177:G179)</f>
        <v>2531.88</v>
      </c>
    </row>
    <row r="177" spans="2:7" hidden="1" outlineLevel="2">
      <c r="B177" s="330" t="s">
        <v>332</v>
      </c>
      <c r="C177" s="121" t="s">
        <v>333</v>
      </c>
      <c r="D177" s="332" t="s">
        <v>69</v>
      </c>
      <c r="E177" s="332">
        <v>1.34</v>
      </c>
      <c r="F177" s="325">
        <v>427.59</v>
      </c>
      <c r="G177" s="436">
        <f>ROUND(E177*F177,2)</f>
        <v>572.97</v>
      </c>
    </row>
    <row r="178" spans="2:7" hidden="1" outlineLevel="2">
      <c r="B178" s="330" t="s">
        <v>334</v>
      </c>
      <c r="C178" s="121" t="s">
        <v>122</v>
      </c>
      <c r="D178" s="332" t="s">
        <v>57</v>
      </c>
      <c r="E178" s="332">
        <v>9.98</v>
      </c>
      <c r="F178" s="325">
        <v>75.39</v>
      </c>
      <c r="G178" s="436">
        <f>ROUND(E178*F178,2)</f>
        <v>752.39</v>
      </c>
    </row>
    <row r="179" spans="2:7" hidden="1" outlineLevel="2">
      <c r="B179" s="330" t="s">
        <v>335</v>
      </c>
      <c r="C179" s="121" t="s">
        <v>336</v>
      </c>
      <c r="D179" s="332" t="s">
        <v>94</v>
      </c>
      <c r="E179" s="332">
        <v>161.30000000000001</v>
      </c>
      <c r="F179" s="325">
        <v>7.48</v>
      </c>
      <c r="G179" s="436">
        <f>ROUND(E179*F179,2)</f>
        <v>1206.52</v>
      </c>
    </row>
    <row r="180" spans="2:7" hidden="1" outlineLevel="2">
      <c r="B180" s="331" t="s">
        <v>337</v>
      </c>
      <c r="C180" s="324" t="s">
        <v>248</v>
      </c>
      <c r="D180" s="332"/>
      <c r="E180" s="332"/>
      <c r="F180" s="325"/>
      <c r="G180" s="435">
        <f>+SUBTOTAL(9,G181:G183)</f>
        <v>3770.71</v>
      </c>
    </row>
    <row r="181" spans="2:7" hidden="1" outlineLevel="2">
      <c r="B181" s="330" t="s">
        <v>338</v>
      </c>
      <c r="C181" s="121" t="s">
        <v>339</v>
      </c>
      <c r="D181" s="332" t="s">
        <v>69</v>
      </c>
      <c r="E181" s="332">
        <v>2.58</v>
      </c>
      <c r="F181" s="325">
        <v>417.1</v>
      </c>
      <c r="G181" s="436">
        <f>ROUND(E181*F181,2)</f>
        <v>1076.1199999999999</v>
      </c>
    </row>
    <row r="182" spans="2:7" hidden="1" outlineLevel="2">
      <c r="B182" s="330" t="s">
        <v>340</v>
      </c>
      <c r="C182" s="121" t="s">
        <v>252</v>
      </c>
      <c r="D182" s="332" t="s">
        <v>57</v>
      </c>
      <c r="E182" s="332">
        <v>20</v>
      </c>
      <c r="F182" s="325">
        <v>60.67</v>
      </c>
      <c r="G182" s="436">
        <f>ROUND(E182*F182,2)</f>
        <v>1213.4000000000001</v>
      </c>
    </row>
    <row r="183" spans="2:7" hidden="1" outlineLevel="2">
      <c r="B183" s="330" t="s">
        <v>341</v>
      </c>
      <c r="C183" s="121" t="s">
        <v>254</v>
      </c>
      <c r="D183" s="332" t="s">
        <v>94</v>
      </c>
      <c r="E183" s="332">
        <v>198.02</v>
      </c>
      <c r="F183" s="325">
        <v>7.48</v>
      </c>
      <c r="G183" s="436">
        <f>ROUND(E183*F183,2)</f>
        <v>1481.19</v>
      </c>
    </row>
    <row r="184" spans="2:7" hidden="1" outlineLevel="2">
      <c r="B184" s="331" t="s">
        <v>342</v>
      </c>
      <c r="C184" s="324" t="s">
        <v>343</v>
      </c>
      <c r="D184" s="332"/>
      <c r="E184" s="332"/>
      <c r="F184" s="325"/>
      <c r="G184" s="435">
        <f>+SUBTOTAL(9,G185)</f>
        <v>5166.37</v>
      </c>
    </row>
    <row r="185" spans="2:7" hidden="1" outlineLevel="2">
      <c r="B185" s="330" t="s">
        <v>344</v>
      </c>
      <c r="C185" s="121" t="s">
        <v>345</v>
      </c>
      <c r="D185" s="332" t="s">
        <v>57</v>
      </c>
      <c r="E185" s="332">
        <v>31.98</v>
      </c>
      <c r="F185" s="325">
        <v>161.55000000000001</v>
      </c>
      <c r="G185" s="436">
        <f>ROUND(E185*F185,2)</f>
        <v>5166.37</v>
      </c>
    </row>
    <row r="186" spans="2:7" hidden="1" outlineLevel="2">
      <c r="B186" s="331" t="s">
        <v>346</v>
      </c>
      <c r="C186" s="324" t="s">
        <v>134</v>
      </c>
      <c r="D186" s="332"/>
      <c r="E186" s="332"/>
      <c r="F186" s="325"/>
      <c r="G186" s="435">
        <f>+SUBTOTAL(9,G187:G193)</f>
        <v>3714.9500000000003</v>
      </c>
    </row>
    <row r="187" spans="2:7" ht="30" hidden="1" outlineLevel="2">
      <c r="B187" s="330" t="s">
        <v>347</v>
      </c>
      <c r="C187" s="121" t="s">
        <v>348</v>
      </c>
      <c r="D187" s="332" t="s">
        <v>57</v>
      </c>
      <c r="E187" s="332">
        <v>44.02</v>
      </c>
      <c r="F187" s="325">
        <v>27.37</v>
      </c>
      <c r="G187" s="436">
        <f t="shared" ref="G187:G193" si="3">ROUND(E187*F187,2)</f>
        <v>1204.83</v>
      </c>
    </row>
    <row r="188" spans="2:7" ht="30" hidden="1" outlineLevel="2">
      <c r="B188" s="330" t="s">
        <v>349</v>
      </c>
      <c r="C188" s="121" t="s">
        <v>350</v>
      </c>
      <c r="D188" s="332" t="s">
        <v>57</v>
      </c>
      <c r="E188" s="332">
        <v>38.15</v>
      </c>
      <c r="F188" s="325">
        <v>27.37</v>
      </c>
      <c r="G188" s="436">
        <f t="shared" si="3"/>
        <v>1044.17</v>
      </c>
    </row>
    <row r="189" spans="2:7" ht="30" hidden="1" outlineLevel="2">
      <c r="B189" s="330" t="s">
        <v>351</v>
      </c>
      <c r="C189" s="121" t="s">
        <v>352</v>
      </c>
      <c r="D189" s="332" t="s">
        <v>57</v>
      </c>
      <c r="E189" s="332">
        <v>17.22</v>
      </c>
      <c r="F189" s="325">
        <v>27.37</v>
      </c>
      <c r="G189" s="436">
        <f t="shared" si="3"/>
        <v>471.31</v>
      </c>
    </row>
    <row r="190" spans="2:7" ht="30" hidden="1" outlineLevel="2">
      <c r="B190" s="330" t="s">
        <v>353</v>
      </c>
      <c r="C190" s="121" t="s">
        <v>354</v>
      </c>
      <c r="D190" s="332" t="s">
        <v>57</v>
      </c>
      <c r="E190" s="332">
        <v>2.78</v>
      </c>
      <c r="F190" s="325">
        <v>27.37</v>
      </c>
      <c r="G190" s="436">
        <f t="shared" si="3"/>
        <v>76.09</v>
      </c>
    </row>
    <row r="191" spans="2:7" hidden="1" outlineLevel="2">
      <c r="B191" s="330" t="s">
        <v>355</v>
      </c>
      <c r="C191" s="121" t="s">
        <v>356</v>
      </c>
      <c r="D191" s="332" t="s">
        <v>57</v>
      </c>
      <c r="E191" s="332">
        <v>14.2</v>
      </c>
      <c r="F191" s="325">
        <v>32.47</v>
      </c>
      <c r="G191" s="436">
        <f t="shared" si="3"/>
        <v>461.07</v>
      </c>
    </row>
    <row r="192" spans="2:7" hidden="1" outlineLevel="2">
      <c r="B192" s="330" t="s">
        <v>357</v>
      </c>
      <c r="C192" s="121" t="s">
        <v>277</v>
      </c>
      <c r="D192" s="332" t="s">
        <v>64</v>
      </c>
      <c r="E192" s="332">
        <v>9.6</v>
      </c>
      <c r="F192" s="325">
        <v>17.440000000000001</v>
      </c>
      <c r="G192" s="436">
        <f t="shared" si="3"/>
        <v>167.42</v>
      </c>
    </row>
    <row r="193" spans="2:7" hidden="1" outlineLevel="2">
      <c r="B193" s="330" t="s">
        <v>358</v>
      </c>
      <c r="C193" s="121" t="s">
        <v>279</v>
      </c>
      <c r="D193" s="332" t="s">
        <v>57</v>
      </c>
      <c r="E193" s="332">
        <v>67.930000000000007</v>
      </c>
      <c r="F193" s="325">
        <v>4.2699999999999996</v>
      </c>
      <c r="G193" s="436">
        <f t="shared" si="3"/>
        <v>290.06</v>
      </c>
    </row>
    <row r="194" spans="2:7" hidden="1" outlineLevel="2">
      <c r="B194" s="331" t="s">
        <v>359</v>
      </c>
      <c r="C194" s="324" t="s">
        <v>158</v>
      </c>
      <c r="D194" s="332"/>
      <c r="E194" s="332"/>
      <c r="F194" s="325"/>
      <c r="G194" s="435">
        <f>+SUBTOTAL(9,G195:G197)</f>
        <v>2952.88</v>
      </c>
    </row>
    <row r="195" spans="2:7" hidden="1" outlineLevel="2">
      <c r="B195" s="330" t="s">
        <v>360</v>
      </c>
      <c r="C195" s="121" t="s">
        <v>361</v>
      </c>
      <c r="D195" s="332" t="s">
        <v>57</v>
      </c>
      <c r="E195" s="332">
        <v>11.61</v>
      </c>
      <c r="F195" s="325">
        <v>66.84</v>
      </c>
      <c r="G195" s="436">
        <f>ROUND(E195*F195,2)</f>
        <v>776.01</v>
      </c>
    </row>
    <row r="196" spans="2:7" hidden="1" outlineLevel="2">
      <c r="B196" s="330" t="s">
        <v>362</v>
      </c>
      <c r="C196" s="121" t="s">
        <v>363</v>
      </c>
      <c r="D196" s="332" t="s">
        <v>57</v>
      </c>
      <c r="E196" s="332">
        <v>11.61</v>
      </c>
      <c r="F196" s="325">
        <v>171.61</v>
      </c>
      <c r="G196" s="436">
        <f>ROUND(E196*F196,2)</f>
        <v>1992.39</v>
      </c>
    </row>
    <row r="197" spans="2:7" hidden="1" outlineLevel="2">
      <c r="B197" s="330" t="s">
        <v>364</v>
      </c>
      <c r="C197" s="121" t="s">
        <v>160</v>
      </c>
      <c r="D197" s="332" t="s">
        <v>57</v>
      </c>
      <c r="E197" s="332">
        <v>2.76</v>
      </c>
      <c r="F197" s="325">
        <v>66.84</v>
      </c>
      <c r="G197" s="436">
        <f>ROUND(E197*F197,2)</f>
        <v>184.48</v>
      </c>
    </row>
    <row r="198" spans="2:7" hidden="1" outlineLevel="2">
      <c r="B198" s="331" t="s">
        <v>365</v>
      </c>
      <c r="C198" s="324" t="s">
        <v>162</v>
      </c>
      <c r="D198" s="332"/>
      <c r="E198" s="332"/>
      <c r="F198" s="325"/>
      <c r="G198" s="435">
        <f>+SUBTOTAL(9,G199:G200)</f>
        <v>4568.1099999999997</v>
      </c>
    </row>
    <row r="199" spans="2:7" hidden="1" outlineLevel="2">
      <c r="B199" s="330" t="s">
        <v>366</v>
      </c>
      <c r="C199" s="121" t="s">
        <v>367</v>
      </c>
      <c r="D199" s="332" t="s">
        <v>43</v>
      </c>
      <c r="E199" s="332">
        <v>1</v>
      </c>
      <c r="F199" s="325">
        <v>3753</v>
      </c>
      <c r="G199" s="436">
        <f>ROUND(E199*F199,2)</f>
        <v>3753</v>
      </c>
    </row>
    <row r="200" spans="2:7" hidden="1" outlineLevel="2">
      <c r="B200" s="330" t="s">
        <v>368</v>
      </c>
      <c r="C200" s="121" t="s">
        <v>289</v>
      </c>
      <c r="D200" s="332" t="s">
        <v>43</v>
      </c>
      <c r="E200" s="332">
        <v>1</v>
      </c>
      <c r="F200" s="325">
        <v>815.11</v>
      </c>
      <c r="G200" s="436">
        <f>ROUND(E200*F200,2)</f>
        <v>815.11</v>
      </c>
    </row>
    <row r="201" spans="2:7" hidden="1" outlineLevel="2">
      <c r="B201" s="331" t="s">
        <v>369</v>
      </c>
      <c r="C201" s="324" t="s">
        <v>174</v>
      </c>
      <c r="D201" s="332"/>
      <c r="E201" s="332"/>
      <c r="F201" s="325"/>
      <c r="G201" s="435">
        <f>+SUBTOTAL(9,G202:G204)</f>
        <v>1068.9099999999999</v>
      </c>
    </row>
    <row r="202" spans="2:7" hidden="1" outlineLevel="2">
      <c r="B202" s="330" t="s">
        <v>370</v>
      </c>
      <c r="C202" s="121" t="s">
        <v>294</v>
      </c>
      <c r="D202" s="332" t="s">
        <v>57</v>
      </c>
      <c r="E202" s="332">
        <v>44.02</v>
      </c>
      <c r="F202" s="325">
        <v>9.8000000000000007</v>
      </c>
      <c r="G202" s="436">
        <f>ROUND(E202*F202,2)</f>
        <v>431.4</v>
      </c>
    </row>
    <row r="203" spans="2:7" hidden="1" outlineLevel="2">
      <c r="B203" s="330" t="s">
        <v>371</v>
      </c>
      <c r="C203" s="121" t="s">
        <v>296</v>
      </c>
      <c r="D203" s="332" t="s">
        <v>57</v>
      </c>
      <c r="E203" s="332">
        <v>38.15</v>
      </c>
      <c r="F203" s="325">
        <v>10.32</v>
      </c>
      <c r="G203" s="436">
        <f>ROUND(E203*F203,2)</f>
        <v>393.71</v>
      </c>
    </row>
    <row r="204" spans="2:7" hidden="1" outlineLevel="2">
      <c r="B204" s="330" t="s">
        <v>372</v>
      </c>
      <c r="C204" s="121" t="s">
        <v>298</v>
      </c>
      <c r="D204" s="332" t="s">
        <v>57</v>
      </c>
      <c r="E204" s="332">
        <v>20</v>
      </c>
      <c r="F204" s="325">
        <v>12.19</v>
      </c>
      <c r="G204" s="436">
        <f>ROUND(E204*F204,2)</f>
        <v>243.8</v>
      </c>
    </row>
    <row r="205" spans="2:7" hidden="1" outlineLevel="2">
      <c r="B205" s="331" t="s">
        <v>373</v>
      </c>
      <c r="C205" s="324" t="s">
        <v>178</v>
      </c>
      <c r="D205" s="332"/>
      <c r="E205" s="332"/>
      <c r="F205" s="325"/>
      <c r="G205" s="435">
        <f>+SUBTOTAL(9,G206)</f>
        <v>85.95</v>
      </c>
    </row>
    <row r="206" spans="2:7" hidden="1" outlineLevel="2">
      <c r="B206" s="330" t="s">
        <v>374</v>
      </c>
      <c r="C206" s="121" t="s">
        <v>183</v>
      </c>
      <c r="D206" s="332" t="s">
        <v>43</v>
      </c>
      <c r="E206" s="332">
        <v>3</v>
      </c>
      <c r="F206" s="325">
        <v>28.65</v>
      </c>
      <c r="G206" s="436">
        <f>ROUND(E206*F206,2)</f>
        <v>85.95</v>
      </c>
    </row>
    <row r="207" spans="2:7" hidden="1" outlineLevel="2">
      <c r="B207" s="331" t="s">
        <v>375</v>
      </c>
      <c r="C207" s="324" t="s">
        <v>185</v>
      </c>
      <c r="D207" s="332"/>
      <c r="E207" s="332"/>
      <c r="F207" s="325"/>
      <c r="G207" s="435">
        <f>+SUBTOTAL(9,G208:G209)</f>
        <v>452.78000000000003</v>
      </c>
    </row>
    <row r="208" spans="2:7" ht="30" hidden="1" outlineLevel="2">
      <c r="B208" s="330" t="s">
        <v>376</v>
      </c>
      <c r="C208" s="121" t="s">
        <v>189</v>
      </c>
      <c r="D208" s="332" t="s">
        <v>64</v>
      </c>
      <c r="E208" s="332">
        <v>0.6</v>
      </c>
      <c r="F208" s="325">
        <v>5.27</v>
      </c>
      <c r="G208" s="436">
        <f>ROUND(E208*F208,2)</f>
        <v>3.16</v>
      </c>
    </row>
    <row r="209" spans="2:7" hidden="1" outlineLevel="2">
      <c r="B209" s="330" t="s">
        <v>377</v>
      </c>
      <c r="C209" s="121" t="s">
        <v>378</v>
      </c>
      <c r="D209" s="332" t="s">
        <v>57</v>
      </c>
      <c r="E209" s="332">
        <v>43.78</v>
      </c>
      <c r="F209" s="325">
        <v>10.27</v>
      </c>
      <c r="G209" s="436">
        <f>ROUND(E209*F209,2)</f>
        <v>449.62</v>
      </c>
    </row>
    <row r="210" spans="2:7" hidden="1" outlineLevel="2">
      <c r="B210" s="331" t="s">
        <v>379</v>
      </c>
      <c r="C210" s="324" t="s">
        <v>380</v>
      </c>
      <c r="D210" s="332"/>
      <c r="E210" s="332"/>
      <c r="F210" s="325"/>
      <c r="G210" s="435">
        <f>+SUBTOTAL(9,G211:G218)</f>
        <v>1787.3300000000002</v>
      </c>
    </row>
    <row r="211" spans="2:7" hidden="1" outlineLevel="2">
      <c r="B211" s="330" t="s">
        <v>381</v>
      </c>
      <c r="C211" s="121" t="s">
        <v>382</v>
      </c>
      <c r="D211" s="332" t="s">
        <v>43</v>
      </c>
      <c r="E211" s="332">
        <v>1</v>
      </c>
      <c r="F211" s="325">
        <v>176.94</v>
      </c>
      <c r="G211" s="436">
        <f t="shared" ref="G211:G218" si="4">ROUND(E211*F211,2)</f>
        <v>176.94</v>
      </c>
    </row>
    <row r="212" spans="2:7" hidden="1" outlineLevel="2">
      <c r="B212" s="330" t="s">
        <v>383</v>
      </c>
      <c r="C212" s="121" t="s">
        <v>384</v>
      </c>
      <c r="D212" s="332" t="s">
        <v>43</v>
      </c>
      <c r="E212" s="332">
        <v>1</v>
      </c>
      <c r="F212" s="325">
        <v>76.180000000000007</v>
      </c>
      <c r="G212" s="436">
        <f t="shared" si="4"/>
        <v>76.180000000000007</v>
      </c>
    </row>
    <row r="213" spans="2:7" hidden="1" outlineLevel="2">
      <c r="B213" s="330" t="s">
        <v>385</v>
      </c>
      <c r="C213" s="121" t="s">
        <v>386</v>
      </c>
      <c r="D213" s="332" t="s">
        <v>43</v>
      </c>
      <c r="E213" s="332">
        <v>1</v>
      </c>
      <c r="F213" s="325">
        <v>175.41</v>
      </c>
      <c r="G213" s="436">
        <f t="shared" si="4"/>
        <v>175.41</v>
      </c>
    </row>
    <row r="214" spans="2:7" hidden="1" outlineLevel="2">
      <c r="B214" s="330" t="s">
        <v>387</v>
      </c>
      <c r="C214" s="121" t="s">
        <v>388</v>
      </c>
      <c r="D214" s="332" t="s">
        <v>43</v>
      </c>
      <c r="E214" s="332">
        <v>1</v>
      </c>
      <c r="F214" s="325">
        <v>41.25</v>
      </c>
      <c r="G214" s="436">
        <f t="shared" si="4"/>
        <v>41.25</v>
      </c>
    </row>
    <row r="215" spans="2:7" hidden="1" outlineLevel="2">
      <c r="B215" s="330" t="s">
        <v>389</v>
      </c>
      <c r="C215" s="121" t="s">
        <v>390</v>
      </c>
      <c r="D215" s="332" t="s">
        <v>43</v>
      </c>
      <c r="E215" s="332">
        <v>1</v>
      </c>
      <c r="F215" s="325">
        <v>71.88</v>
      </c>
      <c r="G215" s="436">
        <f t="shared" si="4"/>
        <v>71.88</v>
      </c>
    </row>
    <row r="216" spans="2:7" hidden="1" outlineLevel="2">
      <c r="B216" s="330" t="s">
        <v>391</v>
      </c>
      <c r="C216" s="121" t="s">
        <v>392</v>
      </c>
      <c r="D216" s="332" t="s">
        <v>43</v>
      </c>
      <c r="E216" s="332">
        <v>1</v>
      </c>
      <c r="F216" s="325">
        <v>90.07</v>
      </c>
      <c r="G216" s="436">
        <f t="shared" si="4"/>
        <v>90.07</v>
      </c>
    </row>
    <row r="217" spans="2:7" hidden="1" outlineLevel="2">
      <c r="B217" s="330" t="s">
        <v>393</v>
      </c>
      <c r="C217" s="121" t="s">
        <v>394</v>
      </c>
      <c r="D217" s="332" t="s">
        <v>43</v>
      </c>
      <c r="E217" s="332">
        <v>3</v>
      </c>
      <c r="F217" s="325">
        <v>308.19</v>
      </c>
      <c r="G217" s="436">
        <f t="shared" si="4"/>
        <v>924.57</v>
      </c>
    </row>
    <row r="218" spans="2:7" hidden="1" outlineLevel="2">
      <c r="B218" s="330" t="s">
        <v>395</v>
      </c>
      <c r="C218" s="121" t="s">
        <v>396</v>
      </c>
      <c r="D218" s="332" t="s">
        <v>43</v>
      </c>
      <c r="E218" s="332">
        <v>3</v>
      </c>
      <c r="F218" s="325">
        <v>77.010000000000005</v>
      </c>
      <c r="G218" s="436">
        <f t="shared" si="4"/>
        <v>231.03</v>
      </c>
    </row>
    <row r="219" spans="2:7" hidden="1" outlineLevel="2">
      <c r="B219" s="331" t="s">
        <v>397</v>
      </c>
      <c r="C219" s="324" t="s">
        <v>398</v>
      </c>
      <c r="D219" s="332"/>
      <c r="E219" s="332"/>
      <c r="F219" s="325"/>
      <c r="G219" s="435">
        <f>+SUBTOTAL(9,G220:G248)</f>
        <v>3551.4700000000003</v>
      </c>
    </row>
    <row r="220" spans="2:7" hidden="1" outlineLevel="2">
      <c r="B220" s="330" t="s">
        <v>381</v>
      </c>
      <c r="C220" s="121" t="s">
        <v>399</v>
      </c>
      <c r="D220" s="332" t="s">
        <v>64</v>
      </c>
      <c r="E220" s="332">
        <v>5.0999999999999996</v>
      </c>
      <c r="F220" s="325">
        <v>11.68</v>
      </c>
      <c r="G220" s="436">
        <f t="shared" ref="G220:G248" si="5">ROUND(E220*F220,2)</f>
        <v>59.57</v>
      </c>
    </row>
    <row r="221" spans="2:7" hidden="1" outlineLevel="2">
      <c r="B221" s="330" t="s">
        <v>383</v>
      </c>
      <c r="C221" s="121" t="s">
        <v>400</v>
      </c>
      <c r="D221" s="332" t="s">
        <v>64</v>
      </c>
      <c r="E221" s="332">
        <v>26.83</v>
      </c>
      <c r="F221" s="325">
        <v>17.149999999999999</v>
      </c>
      <c r="G221" s="436">
        <f t="shared" si="5"/>
        <v>460.13</v>
      </c>
    </row>
    <row r="222" spans="2:7" hidden="1" outlineLevel="2">
      <c r="B222" s="330" t="s">
        <v>385</v>
      </c>
      <c r="C222" s="121" t="s">
        <v>401</v>
      </c>
      <c r="D222" s="332" t="s">
        <v>64</v>
      </c>
      <c r="E222" s="332">
        <v>5.7</v>
      </c>
      <c r="F222" s="325">
        <v>18.86</v>
      </c>
      <c r="G222" s="436">
        <f t="shared" si="5"/>
        <v>107.5</v>
      </c>
    </row>
    <row r="223" spans="2:7" hidden="1" outlineLevel="2">
      <c r="B223" s="330" t="s">
        <v>387</v>
      </c>
      <c r="C223" s="121" t="s">
        <v>402</v>
      </c>
      <c r="D223" s="332" t="s">
        <v>64</v>
      </c>
      <c r="E223" s="332">
        <v>23.2</v>
      </c>
      <c r="F223" s="325">
        <v>21.52</v>
      </c>
      <c r="G223" s="436">
        <f t="shared" si="5"/>
        <v>499.26</v>
      </c>
    </row>
    <row r="224" spans="2:7" hidden="1" outlineLevel="2">
      <c r="B224" s="330" t="s">
        <v>389</v>
      </c>
      <c r="C224" s="121" t="s">
        <v>403</v>
      </c>
      <c r="D224" s="332" t="s">
        <v>43</v>
      </c>
      <c r="E224" s="332">
        <v>5</v>
      </c>
      <c r="F224" s="325">
        <v>0.54</v>
      </c>
      <c r="G224" s="436">
        <f t="shared" si="5"/>
        <v>2.7</v>
      </c>
    </row>
    <row r="225" spans="2:7" hidden="1" outlineLevel="2">
      <c r="B225" s="330" t="s">
        <v>391</v>
      </c>
      <c r="C225" s="121" t="s">
        <v>404</v>
      </c>
      <c r="D225" s="332" t="s">
        <v>43</v>
      </c>
      <c r="E225" s="332">
        <v>7</v>
      </c>
      <c r="F225" s="325">
        <v>0.81</v>
      </c>
      <c r="G225" s="436">
        <f t="shared" si="5"/>
        <v>5.67</v>
      </c>
    </row>
    <row r="226" spans="2:7" hidden="1" outlineLevel="2">
      <c r="B226" s="330" t="s">
        <v>393</v>
      </c>
      <c r="C226" s="121" t="s">
        <v>405</v>
      </c>
      <c r="D226" s="332" t="s">
        <v>43</v>
      </c>
      <c r="E226" s="332">
        <v>2</v>
      </c>
      <c r="F226" s="325">
        <v>5.89</v>
      </c>
      <c r="G226" s="436">
        <f t="shared" si="5"/>
        <v>11.78</v>
      </c>
    </row>
    <row r="227" spans="2:7" hidden="1" outlineLevel="2">
      <c r="B227" s="330" t="s">
        <v>395</v>
      </c>
      <c r="C227" s="121" t="s">
        <v>406</v>
      </c>
      <c r="D227" s="332" t="s">
        <v>43</v>
      </c>
      <c r="E227" s="332">
        <v>1</v>
      </c>
      <c r="F227" s="325">
        <v>102.9</v>
      </c>
      <c r="G227" s="436">
        <f t="shared" si="5"/>
        <v>102.9</v>
      </c>
    </row>
    <row r="228" spans="2:7" hidden="1" outlineLevel="2">
      <c r="B228" s="330" t="s">
        <v>407</v>
      </c>
      <c r="C228" s="121" t="s">
        <v>408</v>
      </c>
      <c r="D228" s="332" t="s">
        <v>43</v>
      </c>
      <c r="E228" s="332">
        <v>1</v>
      </c>
      <c r="F228" s="325">
        <v>2.2200000000000002</v>
      </c>
      <c r="G228" s="436">
        <f t="shared" si="5"/>
        <v>2.2200000000000002</v>
      </c>
    </row>
    <row r="229" spans="2:7" hidden="1" outlineLevel="2">
      <c r="B229" s="330" t="s">
        <v>409</v>
      </c>
      <c r="C229" s="121" t="s">
        <v>410</v>
      </c>
      <c r="D229" s="332" t="s">
        <v>43</v>
      </c>
      <c r="E229" s="332">
        <v>1</v>
      </c>
      <c r="F229" s="325">
        <v>1.67</v>
      </c>
      <c r="G229" s="436">
        <f t="shared" si="5"/>
        <v>1.67</v>
      </c>
    </row>
    <row r="230" spans="2:7" hidden="1" outlineLevel="2">
      <c r="B230" s="330" t="s">
        <v>411</v>
      </c>
      <c r="C230" s="121" t="s">
        <v>412</v>
      </c>
      <c r="D230" s="332" t="s">
        <v>43</v>
      </c>
      <c r="E230" s="332">
        <v>2</v>
      </c>
      <c r="F230" s="325">
        <v>0.75</v>
      </c>
      <c r="G230" s="436">
        <f t="shared" si="5"/>
        <v>1.5</v>
      </c>
    </row>
    <row r="231" spans="2:7" hidden="1" outlineLevel="2">
      <c r="B231" s="330" t="s">
        <v>413</v>
      </c>
      <c r="C231" s="121" t="s">
        <v>414</v>
      </c>
      <c r="D231" s="332" t="s">
        <v>43</v>
      </c>
      <c r="E231" s="332">
        <v>3</v>
      </c>
      <c r="F231" s="325">
        <v>63.01</v>
      </c>
      <c r="G231" s="436">
        <f t="shared" si="5"/>
        <v>189.03</v>
      </c>
    </row>
    <row r="232" spans="2:7" hidden="1" outlineLevel="2">
      <c r="B232" s="330" t="s">
        <v>415</v>
      </c>
      <c r="C232" s="121" t="s">
        <v>416</v>
      </c>
      <c r="D232" s="332" t="s">
        <v>43</v>
      </c>
      <c r="E232" s="332">
        <v>1</v>
      </c>
      <c r="F232" s="325">
        <v>76.180000000000007</v>
      </c>
      <c r="G232" s="436">
        <f t="shared" si="5"/>
        <v>76.180000000000007</v>
      </c>
    </row>
    <row r="233" spans="2:7" hidden="1" outlineLevel="2">
      <c r="B233" s="330" t="s">
        <v>417</v>
      </c>
      <c r="C233" s="121" t="s">
        <v>418</v>
      </c>
      <c r="D233" s="332" t="s">
        <v>43</v>
      </c>
      <c r="E233" s="332">
        <v>2</v>
      </c>
      <c r="F233" s="325">
        <v>0.62</v>
      </c>
      <c r="G233" s="436">
        <f t="shared" si="5"/>
        <v>1.24</v>
      </c>
    </row>
    <row r="234" spans="2:7" hidden="1" outlineLevel="2">
      <c r="B234" s="330" t="s">
        <v>419</v>
      </c>
      <c r="C234" s="121" t="s">
        <v>420</v>
      </c>
      <c r="D234" s="332" t="s">
        <v>43</v>
      </c>
      <c r="E234" s="332">
        <v>2</v>
      </c>
      <c r="F234" s="325">
        <v>2.85</v>
      </c>
      <c r="G234" s="436">
        <f t="shared" si="5"/>
        <v>5.7</v>
      </c>
    </row>
    <row r="235" spans="2:7" hidden="1" outlineLevel="2">
      <c r="B235" s="330" t="s">
        <v>421</v>
      </c>
      <c r="C235" s="121" t="s">
        <v>422</v>
      </c>
      <c r="D235" s="332" t="s">
        <v>43</v>
      </c>
      <c r="E235" s="332">
        <v>3</v>
      </c>
      <c r="F235" s="325">
        <v>0.62</v>
      </c>
      <c r="G235" s="436">
        <f t="shared" si="5"/>
        <v>1.86</v>
      </c>
    </row>
    <row r="236" spans="2:7" hidden="1" outlineLevel="2">
      <c r="B236" s="330" t="s">
        <v>423</v>
      </c>
      <c r="C236" s="121" t="s">
        <v>424</v>
      </c>
      <c r="D236" s="332" t="s">
        <v>43</v>
      </c>
      <c r="E236" s="332">
        <v>1</v>
      </c>
      <c r="F236" s="325">
        <v>2.35</v>
      </c>
      <c r="G236" s="436">
        <f t="shared" si="5"/>
        <v>2.35</v>
      </c>
    </row>
    <row r="237" spans="2:7" hidden="1" outlineLevel="2">
      <c r="B237" s="330" t="s">
        <v>425</v>
      </c>
      <c r="C237" s="121" t="s">
        <v>426</v>
      </c>
      <c r="D237" s="332" t="s">
        <v>43</v>
      </c>
      <c r="E237" s="332">
        <v>2</v>
      </c>
      <c r="F237" s="325">
        <v>3.01</v>
      </c>
      <c r="G237" s="436">
        <f t="shared" si="5"/>
        <v>6.02</v>
      </c>
    </row>
    <row r="238" spans="2:7" hidden="1" outlineLevel="2">
      <c r="B238" s="330" t="s">
        <v>427</v>
      </c>
      <c r="C238" s="121" t="s">
        <v>428</v>
      </c>
      <c r="D238" s="332" t="s">
        <v>43</v>
      </c>
      <c r="E238" s="332">
        <v>1</v>
      </c>
      <c r="F238" s="325">
        <v>13.53</v>
      </c>
      <c r="G238" s="436">
        <f t="shared" si="5"/>
        <v>13.53</v>
      </c>
    </row>
    <row r="239" spans="2:7" hidden="1" outlineLevel="2">
      <c r="B239" s="330" t="s">
        <v>429</v>
      </c>
      <c r="C239" s="121" t="s">
        <v>430</v>
      </c>
      <c r="D239" s="332" t="s">
        <v>43</v>
      </c>
      <c r="E239" s="332">
        <v>4</v>
      </c>
      <c r="F239" s="325">
        <v>109.98</v>
      </c>
      <c r="G239" s="436">
        <f t="shared" si="5"/>
        <v>439.92</v>
      </c>
    </row>
    <row r="240" spans="2:7" hidden="1" outlineLevel="2">
      <c r="B240" s="330" t="s">
        <v>431</v>
      </c>
      <c r="C240" s="121" t="s">
        <v>432</v>
      </c>
      <c r="D240" s="332" t="s">
        <v>43</v>
      </c>
      <c r="E240" s="332">
        <v>1</v>
      </c>
      <c r="F240" s="325">
        <v>1.57</v>
      </c>
      <c r="G240" s="436">
        <f t="shared" si="5"/>
        <v>1.57</v>
      </c>
    </row>
    <row r="241" spans="2:7" hidden="1" outlineLevel="2">
      <c r="B241" s="330" t="s">
        <v>433</v>
      </c>
      <c r="C241" s="121" t="s">
        <v>434</v>
      </c>
      <c r="D241" s="332" t="s">
        <v>43</v>
      </c>
      <c r="E241" s="332">
        <v>2</v>
      </c>
      <c r="F241" s="325">
        <v>5.8</v>
      </c>
      <c r="G241" s="436">
        <f t="shared" si="5"/>
        <v>11.6</v>
      </c>
    </row>
    <row r="242" spans="2:7" hidden="1" outlineLevel="2">
      <c r="B242" s="330" t="s">
        <v>435</v>
      </c>
      <c r="C242" s="121" t="s">
        <v>436</v>
      </c>
      <c r="D242" s="332" t="s">
        <v>43</v>
      </c>
      <c r="E242" s="332">
        <v>2</v>
      </c>
      <c r="F242" s="325">
        <v>379.78</v>
      </c>
      <c r="G242" s="436">
        <f t="shared" si="5"/>
        <v>759.56</v>
      </c>
    </row>
    <row r="243" spans="2:7" hidden="1" outlineLevel="2">
      <c r="B243" s="330" t="s">
        <v>437</v>
      </c>
      <c r="C243" s="121" t="s">
        <v>438</v>
      </c>
      <c r="D243" s="332" t="s">
        <v>43</v>
      </c>
      <c r="E243" s="332">
        <v>2</v>
      </c>
      <c r="F243" s="325">
        <v>3.17</v>
      </c>
      <c r="G243" s="436">
        <f t="shared" si="5"/>
        <v>6.34</v>
      </c>
    </row>
    <row r="244" spans="2:7" hidden="1" outlineLevel="2">
      <c r="B244" s="330" t="s">
        <v>439</v>
      </c>
      <c r="C244" s="121" t="s">
        <v>440</v>
      </c>
      <c r="D244" s="332" t="s">
        <v>441</v>
      </c>
      <c r="E244" s="332">
        <v>2</v>
      </c>
      <c r="F244" s="325">
        <v>66.98</v>
      </c>
      <c r="G244" s="436">
        <f t="shared" si="5"/>
        <v>133.96</v>
      </c>
    </row>
    <row r="245" spans="2:7" hidden="1" outlineLevel="2">
      <c r="B245" s="330" t="s">
        <v>442</v>
      </c>
      <c r="C245" s="121" t="s">
        <v>443</v>
      </c>
      <c r="D245" s="332" t="s">
        <v>441</v>
      </c>
      <c r="E245" s="332">
        <v>1</v>
      </c>
      <c r="F245" s="325">
        <v>87.63</v>
      </c>
      <c r="G245" s="436">
        <f t="shared" si="5"/>
        <v>87.63</v>
      </c>
    </row>
    <row r="246" spans="2:7" hidden="1" outlineLevel="2">
      <c r="B246" s="330" t="s">
        <v>444</v>
      </c>
      <c r="C246" s="121" t="s">
        <v>445</v>
      </c>
      <c r="D246" s="332" t="s">
        <v>43</v>
      </c>
      <c r="E246" s="332">
        <v>1</v>
      </c>
      <c r="F246" s="325">
        <v>12.36</v>
      </c>
      <c r="G246" s="436">
        <f t="shared" si="5"/>
        <v>12.36</v>
      </c>
    </row>
    <row r="247" spans="2:7" hidden="1" outlineLevel="2">
      <c r="B247" s="330" t="s">
        <v>446</v>
      </c>
      <c r="C247" s="121" t="s">
        <v>447</v>
      </c>
      <c r="D247" s="332" t="s">
        <v>43</v>
      </c>
      <c r="E247" s="332">
        <v>1</v>
      </c>
      <c r="F247" s="325">
        <v>268.48</v>
      </c>
      <c r="G247" s="436">
        <f t="shared" si="5"/>
        <v>268.48</v>
      </c>
    </row>
    <row r="248" spans="2:7" hidden="1" outlineLevel="2">
      <c r="B248" s="330" t="s">
        <v>448</v>
      </c>
      <c r="C248" s="121" t="s">
        <v>449</v>
      </c>
      <c r="D248" s="332" t="s">
        <v>43</v>
      </c>
      <c r="E248" s="332">
        <v>39</v>
      </c>
      <c r="F248" s="325">
        <v>7.16</v>
      </c>
      <c r="G248" s="436">
        <f t="shared" si="5"/>
        <v>279.24</v>
      </c>
    </row>
    <row r="249" spans="2:7" hidden="1" outlineLevel="1" collapsed="1">
      <c r="B249" s="331" t="s">
        <v>450</v>
      </c>
      <c r="C249" s="324" t="s">
        <v>451</v>
      </c>
      <c r="D249" s="332"/>
      <c r="E249" s="332"/>
      <c r="F249" s="325"/>
      <c r="G249" s="435">
        <f>+SUBTOTAL(9,G250:G280)</f>
        <v>8794.7099999999991</v>
      </c>
    </row>
    <row r="250" spans="2:7" hidden="1" outlineLevel="2">
      <c r="B250" s="331" t="s">
        <v>452</v>
      </c>
      <c r="C250" s="324" t="s">
        <v>54</v>
      </c>
      <c r="D250" s="332"/>
      <c r="E250" s="332"/>
      <c r="F250" s="325"/>
      <c r="G250" s="435">
        <f>+SUBTOTAL(9,G251:G252)</f>
        <v>345.67</v>
      </c>
    </row>
    <row r="251" spans="2:7" hidden="1" outlineLevel="2">
      <c r="B251" s="330" t="s">
        <v>453</v>
      </c>
      <c r="C251" s="121" t="s">
        <v>56</v>
      </c>
      <c r="D251" s="332" t="s">
        <v>57</v>
      </c>
      <c r="E251" s="332">
        <v>2.6</v>
      </c>
      <c r="F251" s="325">
        <v>68.64</v>
      </c>
      <c r="G251" s="436">
        <f>ROUND(E251*F251,2)</f>
        <v>178.46</v>
      </c>
    </row>
    <row r="252" spans="2:7" hidden="1" outlineLevel="2">
      <c r="B252" s="330" t="s">
        <v>454</v>
      </c>
      <c r="C252" s="121" t="s">
        <v>199</v>
      </c>
      <c r="D252" s="332" t="s">
        <v>57</v>
      </c>
      <c r="E252" s="332">
        <v>2.6</v>
      </c>
      <c r="F252" s="325">
        <v>64.31</v>
      </c>
      <c r="G252" s="436">
        <f>ROUND(E252*F252,2)</f>
        <v>167.21</v>
      </c>
    </row>
    <row r="253" spans="2:7" hidden="1" outlineLevel="2">
      <c r="B253" s="331" t="s">
        <v>455</v>
      </c>
      <c r="C253" s="324" t="s">
        <v>66</v>
      </c>
      <c r="D253" s="332"/>
      <c r="E253" s="332"/>
      <c r="F253" s="325"/>
      <c r="G253" s="435">
        <f>+SUBTOTAL(9,G254:G256)</f>
        <v>2006.35</v>
      </c>
    </row>
    <row r="254" spans="2:7" hidden="1" outlineLevel="2">
      <c r="B254" s="330" t="s">
        <v>456</v>
      </c>
      <c r="C254" s="121" t="s">
        <v>457</v>
      </c>
      <c r="D254" s="332" t="s">
        <v>69</v>
      </c>
      <c r="E254" s="332">
        <v>5.85</v>
      </c>
      <c r="F254" s="325">
        <v>323.01</v>
      </c>
      <c r="G254" s="436">
        <f>ROUND(E254*F254,2)</f>
        <v>1889.61</v>
      </c>
    </row>
    <row r="255" spans="2:7" hidden="1" outlineLevel="2">
      <c r="B255" s="330" t="s">
        <v>458</v>
      </c>
      <c r="C255" s="121" t="s">
        <v>73</v>
      </c>
      <c r="D255" s="332" t="s">
        <v>57</v>
      </c>
      <c r="E255" s="332">
        <v>2.6</v>
      </c>
      <c r="F255" s="325">
        <v>14.12</v>
      </c>
      <c r="G255" s="436">
        <f>ROUND(E255*F255,2)</f>
        <v>36.71</v>
      </c>
    </row>
    <row r="256" spans="2:7" hidden="1" outlineLevel="2">
      <c r="B256" s="330" t="s">
        <v>459</v>
      </c>
      <c r="C256" s="121" t="s">
        <v>77</v>
      </c>
      <c r="D256" s="332" t="s">
        <v>69</v>
      </c>
      <c r="E256" s="332">
        <v>5.85</v>
      </c>
      <c r="F256" s="325">
        <v>13.68</v>
      </c>
      <c r="G256" s="436">
        <f>ROUND(E256*F256,2)</f>
        <v>80.03</v>
      </c>
    </row>
    <row r="257" spans="2:7" hidden="1" outlineLevel="2">
      <c r="B257" s="331" t="s">
        <v>460</v>
      </c>
      <c r="C257" s="324" t="s">
        <v>79</v>
      </c>
      <c r="D257" s="332"/>
      <c r="E257" s="332"/>
      <c r="F257" s="325"/>
      <c r="G257" s="435">
        <f>+SUBTOTAL(9,G258)</f>
        <v>103.64</v>
      </c>
    </row>
    <row r="258" spans="2:7" hidden="1" outlineLevel="2">
      <c r="B258" s="330" t="s">
        <v>461</v>
      </c>
      <c r="C258" s="121" t="s">
        <v>81</v>
      </c>
      <c r="D258" s="332" t="s">
        <v>69</v>
      </c>
      <c r="E258" s="332">
        <v>0.26</v>
      </c>
      <c r="F258" s="325">
        <v>398.62</v>
      </c>
      <c r="G258" s="436">
        <f>ROUND(E258*F258,2)</f>
        <v>103.64</v>
      </c>
    </row>
    <row r="259" spans="2:7" hidden="1" outlineLevel="2">
      <c r="B259" s="331" t="s">
        <v>462</v>
      </c>
      <c r="C259" s="324" t="s">
        <v>85</v>
      </c>
      <c r="D259" s="332"/>
      <c r="E259" s="332"/>
      <c r="F259" s="325"/>
      <c r="G259" s="435">
        <f>+SUBTOTAL(9,G260:G270)</f>
        <v>3949.02</v>
      </c>
    </row>
    <row r="260" spans="2:7" hidden="1" outlineLevel="2">
      <c r="B260" s="331" t="s">
        <v>463</v>
      </c>
      <c r="C260" s="324" t="s">
        <v>96</v>
      </c>
      <c r="D260" s="332"/>
      <c r="E260" s="332"/>
      <c r="F260" s="325"/>
      <c r="G260" s="435">
        <f>+SUBTOTAL(9,G261:G262)</f>
        <v>413.69</v>
      </c>
    </row>
    <row r="261" spans="2:7" hidden="1" outlineLevel="2">
      <c r="B261" s="330" t="s">
        <v>464</v>
      </c>
      <c r="C261" s="121" t="s">
        <v>465</v>
      </c>
      <c r="D261" s="332" t="s">
        <v>69</v>
      </c>
      <c r="E261" s="332">
        <v>0.39</v>
      </c>
      <c r="F261" s="325">
        <v>563.16999999999996</v>
      </c>
      <c r="G261" s="436">
        <f>ROUND(E261*F261,2)</f>
        <v>219.64</v>
      </c>
    </row>
    <row r="262" spans="2:7" hidden="1" outlineLevel="2">
      <c r="B262" s="330" t="s">
        <v>466</v>
      </c>
      <c r="C262" s="121" t="s">
        <v>100</v>
      </c>
      <c r="D262" s="332" t="s">
        <v>94</v>
      </c>
      <c r="E262" s="332">
        <v>26.33</v>
      </c>
      <c r="F262" s="325">
        <v>7.37</v>
      </c>
      <c r="G262" s="436">
        <f>ROUND(E262*F262,2)</f>
        <v>194.05</v>
      </c>
    </row>
    <row r="263" spans="2:7" hidden="1" outlineLevel="2">
      <c r="B263" s="331" t="s">
        <v>467</v>
      </c>
      <c r="C263" s="324" t="s">
        <v>235</v>
      </c>
      <c r="D263" s="332"/>
      <c r="E263" s="332"/>
      <c r="F263" s="325"/>
      <c r="G263" s="435">
        <f>+SUBTOTAL(9,G264:G266)</f>
        <v>3291.84</v>
      </c>
    </row>
    <row r="264" spans="2:7" hidden="1" outlineLevel="2">
      <c r="B264" s="330" t="s">
        <v>468</v>
      </c>
      <c r="C264" s="121" t="s">
        <v>469</v>
      </c>
      <c r="D264" s="332" t="s">
        <v>69</v>
      </c>
      <c r="E264" s="332">
        <v>2.06</v>
      </c>
      <c r="F264" s="325">
        <v>618.65</v>
      </c>
      <c r="G264" s="436">
        <f>ROUND(E264*F264,2)</f>
        <v>1274.42</v>
      </c>
    </row>
    <row r="265" spans="2:7" hidden="1" outlineLevel="2">
      <c r="B265" s="330" t="s">
        <v>470</v>
      </c>
      <c r="C265" s="121" t="s">
        <v>106</v>
      </c>
      <c r="D265" s="332" t="s">
        <v>57</v>
      </c>
      <c r="E265" s="332">
        <v>13.75</v>
      </c>
      <c r="F265" s="325">
        <v>64.8</v>
      </c>
      <c r="G265" s="436">
        <f>ROUND(E265*F265,2)</f>
        <v>891</v>
      </c>
    </row>
    <row r="266" spans="2:7" hidden="1" outlineLevel="2">
      <c r="B266" s="330" t="s">
        <v>471</v>
      </c>
      <c r="C266" s="121" t="s">
        <v>108</v>
      </c>
      <c r="D266" s="332" t="s">
        <v>94</v>
      </c>
      <c r="E266" s="332">
        <v>149.99</v>
      </c>
      <c r="F266" s="325">
        <v>7.51</v>
      </c>
      <c r="G266" s="436">
        <f>ROUND(E266*F266,2)</f>
        <v>1126.42</v>
      </c>
    </row>
    <row r="267" spans="2:7" hidden="1" outlineLevel="2">
      <c r="B267" s="331" t="s">
        <v>472</v>
      </c>
      <c r="C267" s="324" t="s">
        <v>473</v>
      </c>
      <c r="D267" s="332"/>
      <c r="E267" s="332"/>
      <c r="F267" s="325"/>
      <c r="G267" s="435">
        <f>+SUBTOTAL(9,G268:G270)</f>
        <v>243.49</v>
      </c>
    </row>
    <row r="268" spans="2:7" hidden="1" outlineLevel="2">
      <c r="B268" s="330" t="s">
        <v>474</v>
      </c>
      <c r="C268" s="121" t="s">
        <v>475</v>
      </c>
      <c r="D268" s="332" t="s">
        <v>69</v>
      </c>
      <c r="E268" s="332">
        <v>0.1</v>
      </c>
      <c r="F268" s="325">
        <v>541.16</v>
      </c>
      <c r="G268" s="436">
        <f>ROUND(E268*F268,2)</f>
        <v>54.12</v>
      </c>
    </row>
    <row r="269" spans="2:7" hidden="1" outlineLevel="2">
      <c r="B269" s="330" t="s">
        <v>476</v>
      </c>
      <c r="C269" s="121" t="s">
        <v>477</v>
      </c>
      <c r="D269" s="332" t="s">
        <v>57</v>
      </c>
      <c r="E269" s="332">
        <v>2.33</v>
      </c>
      <c r="F269" s="325">
        <v>35.4</v>
      </c>
      <c r="G269" s="436">
        <f>ROUND(E269*F269,2)</f>
        <v>82.48</v>
      </c>
    </row>
    <row r="270" spans="2:7" hidden="1" outlineLevel="2">
      <c r="B270" s="330" t="s">
        <v>478</v>
      </c>
      <c r="C270" s="121" t="s">
        <v>479</v>
      </c>
      <c r="D270" s="332" t="s">
        <v>94</v>
      </c>
      <c r="E270" s="332">
        <v>14.29</v>
      </c>
      <c r="F270" s="325">
        <v>7.48</v>
      </c>
      <c r="G270" s="436">
        <f>ROUND(E270*F270,2)</f>
        <v>106.89</v>
      </c>
    </row>
    <row r="271" spans="2:7" hidden="1" outlineLevel="2">
      <c r="B271" s="331" t="s">
        <v>480</v>
      </c>
      <c r="C271" s="324" t="s">
        <v>134</v>
      </c>
      <c r="D271" s="332"/>
      <c r="E271" s="332"/>
      <c r="F271" s="325"/>
      <c r="G271" s="435">
        <f>+SUBTOTAL(9,G272:G275)</f>
        <v>895.78</v>
      </c>
    </row>
    <row r="272" spans="2:7" ht="30" hidden="1" outlineLevel="2">
      <c r="B272" s="330" t="s">
        <v>481</v>
      </c>
      <c r="C272" s="121" t="s">
        <v>136</v>
      </c>
      <c r="D272" s="332" t="s">
        <v>57</v>
      </c>
      <c r="E272" s="332">
        <v>1.7</v>
      </c>
      <c r="F272" s="325">
        <v>28.74</v>
      </c>
      <c r="G272" s="436">
        <f>ROUND(E272*F272,2)</f>
        <v>48.86</v>
      </c>
    </row>
    <row r="273" spans="2:7" ht="30" hidden="1" outlineLevel="2">
      <c r="B273" s="330" t="s">
        <v>482</v>
      </c>
      <c r="C273" s="121" t="s">
        <v>138</v>
      </c>
      <c r="D273" s="332" t="s">
        <v>57</v>
      </c>
      <c r="E273" s="332">
        <v>1.7</v>
      </c>
      <c r="F273" s="325">
        <v>28.74</v>
      </c>
      <c r="G273" s="436">
        <f>ROUND(E273*F273,2)</f>
        <v>48.86</v>
      </c>
    </row>
    <row r="274" spans="2:7" ht="30" hidden="1" outlineLevel="2">
      <c r="B274" s="330" t="s">
        <v>483</v>
      </c>
      <c r="C274" s="121" t="s">
        <v>140</v>
      </c>
      <c r="D274" s="332" t="s">
        <v>57</v>
      </c>
      <c r="E274" s="332">
        <v>13.75</v>
      </c>
      <c r="F274" s="325">
        <v>28.74</v>
      </c>
      <c r="G274" s="436">
        <f>ROUND(E274*F274,2)</f>
        <v>395.18</v>
      </c>
    </row>
    <row r="275" spans="2:7" ht="30" hidden="1" outlineLevel="2">
      <c r="B275" s="330" t="s">
        <v>484</v>
      </c>
      <c r="C275" s="121" t="s">
        <v>142</v>
      </c>
      <c r="D275" s="332" t="s">
        <v>57</v>
      </c>
      <c r="E275" s="332">
        <v>13.75</v>
      </c>
      <c r="F275" s="325">
        <v>29.3</v>
      </c>
      <c r="G275" s="436">
        <f>ROUND(E275*F275,2)</f>
        <v>402.88</v>
      </c>
    </row>
    <row r="276" spans="2:7" hidden="1" outlineLevel="2">
      <c r="B276" s="331" t="s">
        <v>485</v>
      </c>
      <c r="C276" s="324" t="s">
        <v>185</v>
      </c>
      <c r="D276" s="332"/>
      <c r="E276" s="332"/>
      <c r="F276" s="325"/>
      <c r="G276" s="435">
        <f>+SUBTOTAL(9,G277:G280)</f>
        <v>1494.25</v>
      </c>
    </row>
    <row r="277" spans="2:7" hidden="1" outlineLevel="2">
      <c r="B277" s="330" t="s">
        <v>486</v>
      </c>
      <c r="C277" s="121" t="s">
        <v>487</v>
      </c>
      <c r="D277" s="332" t="s">
        <v>43</v>
      </c>
      <c r="E277" s="332">
        <v>1</v>
      </c>
      <c r="F277" s="325">
        <v>1249.6600000000001</v>
      </c>
      <c r="G277" s="436">
        <f>ROUND(E277*F277,2)</f>
        <v>1249.6600000000001</v>
      </c>
    </row>
    <row r="278" spans="2:7" hidden="1" outlineLevel="2">
      <c r="B278" s="330" t="s">
        <v>488</v>
      </c>
      <c r="C278" s="121" t="s">
        <v>489</v>
      </c>
      <c r="D278" s="332" t="s">
        <v>43</v>
      </c>
      <c r="E278" s="332">
        <v>4</v>
      </c>
      <c r="F278" s="325">
        <v>12.7</v>
      </c>
      <c r="G278" s="436">
        <f>ROUND(E278*F278,2)</f>
        <v>50.8</v>
      </c>
    </row>
    <row r="279" spans="2:7" hidden="1" outlineLevel="2">
      <c r="B279" s="330" t="s">
        <v>490</v>
      </c>
      <c r="C279" s="121" t="s">
        <v>183</v>
      </c>
      <c r="D279" s="332" t="s">
        <v>43</v>
      </c>
      <c r="E279" s="332">
        <v>1</v>
      </c>
      <c r="F279" s="325">
        <v>28.65</v>
      </c>
      <c r="G279" s="436">
        <f>ROUND(E279*F279,2)</f>
        <v>28.65</v>
      </c>
    </row>
    <row r="280" spans="2:7" hidden="1" outlineLevel="2">
      <c r="B280" s="330" t="s">
        <v>491</v>
      </c>
      <c r="C280" s="121" t="s">
        <v>193</v>
      </c>
      <c r="D280" s="332" t="s">
        <v>57</v>
      </c>
      <c r="E280" s="332">
        <v>16.079999999999998</v>
      </c>
      <c r="F280" s="325">
        <v>10.27</v>
      </c>
      <c r="G280" s="436">
        <f>ROUND(E280*F280,2)</f>
        <v>165.14</v>
      </c>
    </row>
    <row r="281" spans="2:7" hidden="1" outlineLevel="1" collapsed="1">
      <c r="B281" s="331" t="s">
        <v>492</v>
      </c>
      <c r="C281" s="324" t="s">
        <v>493</v>
      </c>
      <c r="D281" s="332"/>
      <c r="E281" s="332"/>
      <c r="F281" s="325"/>
      <c r="G281" s="435">
        <f>+SUBTOTAL(9,G282:G302)</f>
        <v>5549.0199999999986</v>
      </c>
    </row>
    <row r="282" spans="2:7" hidden="1" outlineLevel="2">
      <c r="B282" s="331" t="s">
        <v>494</v>
      </c>
      <c r="C282" s="324" t="s">
        <v>54</v>
      </c>
      <c r="D282" s="332"/>
      <c r="E282" s="332"/>
      <c r="F282" s="325"/>
      <c r="G282" s="435">
        <f>+SUBTOTAL(9,G283:G284)</f>
        <v>337.7</v>
      </c>
    </row>
    <row r="283" spans="2:7" hidden="1" outlineLevel="2">
      <c r="B283" s="330" t="s">
        <v>495</v>
      </c>
      <c r="C283" s="121" t="s">
        <v>56</v>
      </c>
      <c r="D283" s="332" t="s">
        <v>57</v>
      </c>
      <c r="E283" s="332">
        <v>2.54</v>
      </c>
      <c r="F283" s="325">
        <v>68.64</v>
      </c>
      <c r="G283" s="436">
        <f>ROUND(E283*F283,2)</f>
        <v>174.35</v>
      </c>
    </row>
    <row r="284" spans="2:7" hidden="1" outlineLevel="2">
      <c r="B284" s="330" t="s">
        <v>496</v>
      </c>
      <c r="C284" s="121" t="s">
        <v>199</v>
      </c>
      <c r="D284" s="332" t="s">
        <v>57</v>
      </c>
      <c r="E284" s="332">
        <v>2.54</v>
      </c>
      <c r="F284" s="325">
        <v>64.31</v>
      </c>
      <c r="G284" s="436">
        <f>ROUND(E284*F284,2)</f>
        <v>163.35</v>
      </c>
    </row>
    <row r="285" spans="2:7" hidden="1" outlineLevel="2">
      <c r="B285" s="331" t="s">
        <v>497</v>
      </c>
      <c r="C285" s="324" t="s">
        <v>66</v>
      </c>
      <c r="D285" s="332"/>
      <c r="E285" s="332"/>
      <c r="F285" s="325"/>
      <c r="G285" s="435">
        <f>+SUBTOTAL(9,G286:G288)</f>
        <v>2436.46</v>
      </c>
    </row>
    <row r="286" spans="2:7" hidden="1" outlineLevel="2">
      <c r="B286" s="330" t="s">
        <v>498</v>
      </c>
      <c r="C286" s="121" t="s">
        <v>457</v>
      </c>
      <c r="D286" s="332" t="s">
        <v>69</v>
      </c>
      <c r="E286" s="332">
        <v>7.13</v>
      </c>
      <c r="F286" s="325">
        <v>323.01</v>
      </c>
      <c r="G286" s="436">
        <f>ROUND(E286*F286,2)</f>
        <v>2303.06</v>
      </c>
    </row>
    <row r="287" spans="2:7" hidden="1" outlineLevel="2">
      <c r="B287" s="330" t="s">
        <v>499</v>
      </c>
      <c r="C287" s="121" t="s">
        <v>73</v>
      </c>
      <c r="D287" s="332" t="s">
        <v>57</v>
      </c>
      <c r="E287" s="332">
        <v>2.54</v>
      </c>
      <c r="F287" s="325">
        <v>14.12</v>
      </c>
      <c r="G287" s="436">
        <f>ROUND(E287*F287,2)</f>
        <v>35.86</v>
      </c>
    </row>
    <row r="288" spans="2:7" hidden="1" outlineLevel="2">
      <c r="B288" s="330" t="s">
        <v>500</v>
      </c>
      <c r="C288" s="121" t="s">
        <v>77</v>
      </c>
      <c r="D288" s="332" t="s">
        <v>69</v>
      </c>
      <c r="E288" s="332">
        <v>7.13</v>
      </c>
      <c r="F288" s="325">
        <v>13.68</v>
      </c>
      <c r="G288" s="436">
        <f>ROUND(E288*F288,2)</f>
        <v>97.54</v>
      </c>
    </row>
    <row r="289" spans="2:7" hidden="1" outlineLevel="2">
      <c r="B289" s="331" t="s">
        <v>501</v>
      </c>
      <c r="C289" s="324" t="s">
        <v>79</v>
      </c>
      <c r="D289" s="332"/>
      <c r="E289" s="332"/>
      <c r="F289" s="325"/>
      <c r="G289" s="435">
        <f>+SUBTOTAL(9,G290)</f>
        <v>224.27</v>
      </c>
    </row>
    <row r="290" spans="2:7" hidden="1" outlineLevel="2">
      <c r="B290" s="330" t="s">
        <v>502</v>
      </c>
      <c r="C290" s="121" t="s">
        <v>503</v>
      </c>
      <c r="D290" s="332" t="s">
        <v>69</v>
      </c>
      <c r="E290" s="332">
        <v>0.61</v>
      </c>
      <c r="F290" s="325">
        <v>367.66</v>
      </c>
      <c r="G290" s="436">
        <f>ROUND(E290*F290,2)</f>
        <v>224.27</v>
      </c>
    </row>
    <row r="291" spans="2:7" hidden="1" outlineLevel="2">
      <c r="B291" s="331" t="s">
        <v>504</v>
      </c>
      <c r="C291" s="324" t="s">
        <v>85</v>
      </c>
      <c r="D291" s="332"/>
      <c r="E291" s="332"/>
      <c r="F291" s="325"/>
      <c r="G291" s="435">
        <f>+SUBTOTAL(9,G292:G295)</f>
        <v>618.64</v>
      </c>
    </row>
    <row r="292" spans="2:7" hidden="1" outlineLevel="2">
      <c r="B292" s="331" t="s">
        <v>505</v>
      </c>
      <c r="C292" s="324" t="s">
        <v>248</v>
      </c>
      <c r="D292" s="332"/>
      <c r="E292" s="332"/>
      <c r="F292" s="325"/>
      <c r="G292" s="435">
        <f>+SUBTOTAL(9,G293:G295)</f>
        <v>618.64</v>
      </c>
    </row>
    <row r="293" spans="2:7" hidden="1" outlineLevel="2">
      <c r="B293" s="330" t="s">
        <v>506</v>
      </c>
      <c r="C293" s="121" t="s">
        <v>507</v>
      </c>
      <c r="D293" s="332" t="s">
        <v>69</v>
      </c>
      <c r="E293" s="332">
        <v>0.38</v>
      </c>
      <c r="F293" s="325">
        <v>563.16999999999996</v>
      </c>
      <c r="G293" s="436">
        <f>ROUND(E293*F293,2)</f>
        <v>214</v>
      </c>
    </row>
    <row r="294" spans="2:7" hidden="1" outlineLevel="2">
      <c r="B294" s="330" t="s">
        <v>508</v>
      </c>
      <c r="C294" s="121" t="s">
        <v>252</v>
      </c>
      <c r="D294" s="332" t="s">
        <v>57</v>
      </c>
      <c r="E294" s="332">
        <v>1.1299999999999999</v>
      </c>
      <c r="F294" s="325">
        <v>60.67</v>
      </c>
      <c r="G294" s="436">
        <f>ROUND(E294*F294,2)</f>
        <v>68.56</v>
      </c>
    </row>
    <row r="295" spans="2:7" hidden="1" outlineLevel="2">
      <c r="B295" s="330" t="s">
        <v>509</v>
      </c>
      <c r="C295" s="121" t="s">
        <v>254</v>
      </c>
      <c r="D295" s="332" t="s">
        <v>94</v>
      </c>
      <c r="E295" s="332">
        <v>44.93</v>
      </c>
      <c r="F295" s="325">
        <v>7.48</v>
      </c>
      <c r="G295" s="436">
        <f>ROUND(E295*F295,2)</f>
        <v>336.08</v>
      </c>
    </row>
    <row r="296" spans="2:7" hidden="1" outlineLevel="2">
      <c r="B296" s="331" t="s">
        <v>510</v>
      </c>
      <c r="C296" s="324" t="s">
        <v>134</v>
      </c>
      <c r="D296" s="332"/>
      <c r="E296" s="332"/>
      <c r="F296" s="325"/>
      <c r="G296" s="435">
        <f>+SUBTOTAL(9,G297)</f>
        <v>1502.42</v>
      </c>
    </row>
    <row r="297" spans="2:7" hidden="1" outlineLevel="2">
      <c r="B297" s="330" t="s">
        <v>511</v>
      </c>
      <c r="C297" s="121" t="s">
        <v>345</v>
      </c>
      <c r="D297" s="332" t="s">
        <v>57</v>
      </c>
      <c r="E297" s="332">
        <v>9.3000000000000007</v>
      </c>
      <c r="F297" s="325">
        <v>161.55000000000001</v>
      </c>
      <c r="G297" s="436">
        <f>ROUND(E297*F297,2)</f>
        <v>1502.42</v>
      </c>
    </row>
    <row r="298" spans="2:7" hidden="1" outlineLevel="2">
      <c r="B298" s="331" t="s">
        <v>512</v>
      </c>
      <c r="C298" s="324" t="s">
        <v>185</v>
      </c>
      <c r="D298" s="332"/>
      <c r="E298" s="332"/>
      <c r="F298" s="325"/>
      <c r="G298" s="435">
        <f>+SUBTOTAL(9,G299:G302)</f>
        <v>429.53</v>
      </c>
    </row>
    <row r="299" spans="2:7" hidden="1" outlineLevel="2">
      <c r="B299" s="330" t="s">
        <v>513</v>
      </c>
      <c r="C299" s="121" t="s">
        <v>514</v>
      </c>
      <c r="D299" s="332" t="s">
        <v>69</v>
      </c>
      <c r="E299" s="332">
        <v>4.13</v>
      </c>
      <c r="F299" s="325">
        <v>92.16</v>
      </c>
      <c r="G299" s="436">
        <f>ROUND(E299*F299,2)</f>
        <v>380.62</v>
      </c>
    </row>
    <row r="300" spans="2:7" hidden="1" outlineLevel="2">
      <c r="B300" s="330" t="s">
        <v>515</v>
      </c>
      <c r="C300" s="121" t="s">
        <v>516</v>
      </c>
      <c r="D300" s="332" t="s">
        <v>43</v>
      </c>
      <c r="E300" s="332">
        <v>1</v>
      </c>
      <c r="F300" s="325">
        <v>8.65</v>
      </c>
      <c r="G300" s="436">
        <f>ROUND(E300*F300,2)</f>
        <v>8.65</v>
      </c>
    </row>
    <row r="301" spans="2:7" hidden="1" outlineLevel="2">
      <c r="B301" s="330" t="s">
        <v>517</v>
      </c>
      <c r="C301" s="121" t="s">
        <v>183</v>
      </c>
      <c r="D301" s="332" t="s">
        <v>43</v>
      </c>
      <c r="E301" s="332">
        <v>1</v>
      </c>
      <c r="F301" s="325">
        <v>28.65</v>
      </c>
      <c r="G301" s="436">
        <f>ROUND(E301*F301,2)</f>
        <v>28.65</v>
      </c>
    </row>
    <row r="302" spans="2:7" hidden="1" outlineLevel="2">
      <c r="B302" s="330" t="s">
        <v>518</v>
      </c>
      <c r="C302" s="121" t="s">
        <v>193</v>
      </c>
      <c r="D302" s="332" t="s">
        <v>57</v>
      </c>
      <c r="E302" s="332">
        <v>1.1299999999999999</v>
      </c>
      <c r="F302" s="325">
        <v>10.27</v>
      </c>
      <c r="G302" s="436">
        <f>ROUND(E302*F302,2)</f>
        <v>11.61</v>
      </c>
    </row>
    <row r="303" spans="2:7" hidden="1" outlineLevel="1" collapsed="1">
      <c r="B303" s="331" t="s">
        <v>519</v>
      </c>
      <c r="C303" s="324" t="s">
        <v>520</v>
      </c>
      <c r="D303" s="332"/>
      <c r="E303" s="332"/>
      <c r="F303" s="325"/>
      <c r="G303" s="435">
        <f>+SUBTOTAL(9,G304:G339)</f>
        <v>295795.91000000003</v>
      </c>
    </row>
    <row r="304" spans="2:7" hidden="1" outlineLevel="2">
      <c r="B304" s="331" t="s">
        <v>521</v>
      </c>
      <c r="C304" s="324" t="s">
        <v>54</v>
      </c>
      <c r="D304" s="332"/>
      <c r="E304" s="332"/>
      <c r="F304" s="325"/>
      <c r="G304" s="435">
        <f>+SUBTOTAL(9,G305:G306)</f>
        <v>21135.660000000003</v>
      </c>
    </row>
    <row r="305" spans="2:7" hidden="1" outlineLevel="2">
      <c r="B305" s="330" t="s">
        <v>522</v>
      </c>
      <c r="C305" s="121" t="s">
        <v>523</v>
      </c>
      <c r="D305" s="332" t="s">
        <v>64</v>
      </c>
      <c r="E305" s="332">
        <v>237</v>
      </c>
      <c r="F305" s="325">
        <v>79.45</v>
      </c>
      <c r="G305" s="436">
        <f>ROUND(E305*F305,2)</f>
        <v>18829.650000000001</v>
      </c>
    </row>
    <row r="306" spans="2:7" hidden="1" outlineLevel="2">
      <c r="B306" s="330" t="s">
        <v>524</v>
      </c>
      <c r="C306" s="121" t="s">
        <v>525</v>
      </c>
      <c r="D306" s="332" t="s">
        <v>64</v>
      </c>
      <c r="E306" s="332">
        <v>237</v>
      </c>
      <c r="F306" s="325">
        <v>9.73</v>
      </c>
      <c r="G306" s="436">
        <f>ROUND(E306*F306,2)</f>
        <v>2306.0100000000002</v>
      </c>
    </row>
    <row r="307" spans="2:7" hidden="1" outlineLevel="2">
      <c r="B307" s="331" t="s">
        <v>526</v>
      </c>
      <c r="C307" s="324" t="s">
        <v>66</v>
      </c>
      <c r="D307" s="332"/>
      <c r="E307" s="332"/>
      <c r="F307" s="325"/>
      <c r="G307" s="435">
        <f>+SUBTOTAL(9,G308:G311)</f>
        <v>38612.960000000006</v>
      </c>
    </row>
    <row r="308" spans="2:7" hidden="1" outlineLevel="2">
      <c r="B308" s="330" t="s">
        <v>527</v>
      </c>
      <c r="C308" s="121" t="s">
        <v>311</v>
      </c>
      <c r="D308" s="332" t="s">
        <v>69</v>
      </c>
      <c r="E308" s="332">
        <v>128.58000000000001</v>
      </c>
      <c r="F308" s="325">
        <v>264.68</v>
      </c>
      <c r="G308" s="436">
        <f>ROUND(E308*F308,2)</f>
        <v>34032.550000000003</v>
      </c>
    </row>
    <row r="309" spans="2:7" hidden="1" outlineLevel="2">
      <c r="B309" s="330" t="s">
        <v>528</v>
      </c>
      <c r="C309" s="121" t="s">
        <v>73</v>
      </c>
      <c r="D309" s="332" t="s">
        <v>57</v>
      </c>
      <c r="E309" s="332">
        <v>116.32</v>
      </c>
      <c r="F309" s="325">
        <v>14.12</v>
      </c>
      <c r="G309" s="436">
        <f>ROUND(E309*F309,2)</f>
        <v>1642.44</v>
      </c>
    </row>
    <row r="310" spans="2:7" hidden="1" outlineLevel="2">
      <c r="B310" s="330" t="s">
        <v>529</v>
      </c>
      <c r="C310" s="121" t="s">
        <v>75</v>
      </c>
      <c r="D310" s="332" t="s">
        <v>69</v>
      </c>
      <c r="E310" s="332">
        <v>12.21</v>
      </c>
      <c r="F310" s="325">
        <v>96.56</v>
      </c>
      <c r="G310" s="436">
        <f>ROUND(E310*F310,2)</f>
        <v>1179</v>
      </c>
    </row>
    <row r="311" spans="2:7" hidden="1" outlineLevel="2">
      <c r="B311" s="330" t="s">
        <v>530</v>
      </c>
      <c r="C311" s="121" t="s">
        <v>77</v>
      </c>
      <c r="D311" s="332" t="s">
        <v>69</v>
      </c>
      <c r="E311" s="332">
        <v>128.58000000000001</v>
      </c>
      <c r="F311" s="325">
        <v>13.68</v>
      </c>
      <c r="G311" s="436">
        <f>ROUND(E311*F311,2)</f>
        <v>1758.97</v>
      </c>
    </row>
    <row r="312" spans="2:7" hidden="1" outlineLevel="2">
      <c r="B312" s="331" t="s">
        <v>531</v>
      </c>
      <c r="C312" s="324" t="s">
        <v>79</v>
      </c>
      <c r="D312" s="332"/>
      <c r="E312" s="332"/>
      <c r="F312" s="325"/>
      <c r="G312" s="435">
        <f>+SUBTOTAL(9,G313:G315)</f>
        <v>49715.63</v>
      </c>
    </row>
    <row r="313" spans="2:7" hidden="1" outlineLevel="2">
      <c r="B313" s="330" t="s">
        <v>532</v>
      </c>
      <c r="C313" s="121" t="s">
        <v>318</v>
      </c>
      <c r="D313" s="332" t="s">
        <v>69</v>
      </c>
      <c r="E313" s="332">
        <v>98.87</v>
      </c>
      <c r="F313" s="325">
        <v>353.53</v>
      </c>
      <c r="G313" s="436">
        <f>ROUND(E313*F313,2)</f>
        <v>34953.51</v>
      </c>
    </row>
    <row r="314" spans="2:7" hidden="1" outlineLevel="2">
      <c r="B314" s="330" t="s">
        <v>533</v>
      </c>
      <c r="C314" s="121" t="s">
        <v>320</v>
      </c>
      <c r="D314" s="332" t="s">
        <v>69</v>
      </c>
      <c r="E314" s="332">
        <v>16.72</v>
      </c>
      <c r="F314" s="325">
        <v>415.41</v>
      </c>
      <c r="G314" s="436">
        <f>ROUND(E314*F314,2)</f>
        <v>6945.66</v>
      </c>
    </row>
    <row r="315" spans="2:7" hidden="1" outlineLevel="2">
      <c r="B315" s="330" t="s">
        <v>534</v>
      </c>
      <c r="C315" s="121" t="s">
        <v>322</v>
      </c>
      <c r="D315" s="332" t="s">
        <v>57</v>
      </c>
      <c r="E315" s="332">
        <v>162.1</v>
      </c>
      <c r="F315" s="325">
        <v>48.22</v>
      </c>
      <c r="G315" s="436">
        <f>ROUND(E315*F315,2)</f>
        <v>7816.46</v>
      </c>
    </row>
    <row r="316" spans="2:7" hidden="1" outlineLevel="2">
      <c r="B316" s="331" t="s">
        <v>535</v>
      </c>
      <c r="C316" s="324" t="s">
        <v>85</v>
      </c>
      <c r="D316" s="332"/>
      <c r="E316" s="332"/>
      <c r="F316" s="325"/>
      <c r="G316" s="435">
        <f>+SUBTOTAL(9,G317:G324)</f>
        <v>76204.98000000001</v>
      </c>
    </row>
    <row r="317" spans="2:7" hidden="1" outlineLevel="2">
      <c r="B317" s="331" t="s">
        <v>536</v>
      </c>
      <c r="C317" s="324" t="s">
        <v>227</v>
      </c>
      <c r="D317" s="332"/>
      <c r="E317" s="332"/>
      <c r="F317" s="325"/>
      <c r="G317" s="435">
        <f>+SUBTOTAL(9,G318:G320)</f>
        <v>46700.509999999995</v>
      </c>
    </row>
    <row r="318" spans="2:7" hidden="1" outlineLevel="2">
      <c r="B318" s="330" t="s">
        <v>537</v>
      </c>
      <c r="C318" s="121" t="s">
        <v>538</v>
      </c>
      <c r="D318" s="332" t="s">
        <v>69</v>
      </c>
      <c r="E318" s="332">
        <v>19.5</v>
      </c>
      <c r="F318" s="325">
        <v>579.37</v>
      </c>
      <c r="G318" s="436">
        <f>ROUND(E318*F318,2)</f>
        <v>11297.72</v>
      </c>
    </row>
    <row r="319" spans="2:7" hidden="1" outlineLevel="2">
      <c r="B319" s="330" t="s">
        <v>539</v>
      </c>
      <c r="C319" s="121" t="s">
        <v>231</v>
      </c>
      <c r="D319" s="332" t="s">
        <v>57</v>
      </c>
      <c r="E319" s="332">
        <v>147</v>
      </c>
      <c r="F319" s="325">
        <v>65.900000000000006</v>
      </c>
      <c r="G319" s="436">
        <f>ROUND(E319*F319,2)</f>
        <v>9687.2999999999993</v>
      </c>
    </row>
    <row r="320" spans="2:7" hidden="1" outlineLevel="2">
      <c r="B320" s="330" t="s">
        <v>540</v>
      </c>
      <c r="C320" s="121" t="s">
        <v>233</v>
      </c>
      <c r="D320" s="332" t="s">
        <v>94</v>
      </c>
      <c r="E320" s="327">
        <v>3437.9</v>
      </c>
      <c r="F320" s="325">
        <v>7.48</v>
      </c>
      <c r="G320" s="436">
        <f>ROUND(E320*F320,2)</f>
        <v>25715.49</v>
      </c>
    </row>
    <row r="321" spans="2:7" hidden="1" outlineLevel="2">
      <c r="B321" s="331" t="s">
        <v>541</v>
      </c>
      <c r="C321" s="324" t="s">
        <v>241</v>
      </c>
      <c r="D321" s="332"/>
      <c r="E321" s="332"/>
      <c r="F321" s="325"/>
      <c r="G321" s="435">
        <f>+SUBTOTAL(9,G322:G324)</f>
        <v>29504.47</v>
      </c>
    </row>
    <row r="322" spans="2:7" hidden="1" outlineLevel="2">
      <c r="B322" s="330" t="s">
        <v>542</v>
      </c>
      <c r="C322" s="121" t="s">
        <v>543</v>
      </c>
      <c r="D322" s="332" t="s">
        <v>69</v>
      </c>
      <c r="E322" s="332">
        <v>14.49</v>
      </c>
      <c r="F322" s="325">
        <v>523.88</v>
      </c>
      <c r="G322" s="436">
        <f>ROUND(E322*F322,2)</f>
        <v>7591.02</v>
      </c>
    </row>
    <row r="323" spans="2:7" hidden="1" outlineLevel="2">
      <c r="B323" s="330" t="s">
        <v>544</v>
      </c>
      <c r="C323" s="121" t="s">
        <v>122</v>
      </c>
      <c r="D323" s="332" t="s">
        <v>57</v>
      </c>
      <c r="E323" s="332">
        <v>168.05</v>
      </c>
      <c r="F323" s="325">
        <v>75.39</v>
      </c>
      <c r="G323" s="436">
        <f>ROUND(E323*F323,2)</f>
        <v>12669.29</v>
      </c>
    </row>
    <row r="324" spans="2:7" hidden="1" outlineLevel="2">
      <c r="B324" s="330" t="s">
        <v>545</v>
      </c>
      <c r="C324" s="121" t="s">
        <v>336</v>
      </c>
      <c r="D324" s="332" t="s">
        <v>94</v>
      </c>
      <c r="E324" s="327">
        <v>1235.8499999999999</v>
      </c>
      <c r="F324" s="325">
        <v>7.48</v>
      </c>
      <c r="G324" s="436">
        <f>ROUND(E324*F324,2)</f>
        <v>9244.16</v>
      </c>
    </row>
    <row r="325" spans="2:7" hidden="1" outlineLevel="2">
      <c r="B325" s="331" t="s">
        <v>546</v>
      </c>
      <c r="C325" s="324" t="s">
        <v>343</v>
      </c>
      <c r="D325" s="332"/>
      <c r="E325" s="332"/>
      <c r="F325" s="325"/>
      <c r="G325" s="435">
        <f>+SUBTOTAL(9,G326:G328)</f>
        <v>66792.639999999999</v>
      </c>
    </row>
    <row r="326" spans="2:7" hidden="1" outlineLevel="2">
      <c r="B326" s="330" t="s">
        <v>547</v>
      </c>
      <c r="C326" s="121" t="s">
        <v>548</v>
      </c>
      <c r="D326" s="332" t="s">
        <v>57</v>
      </c>
      <c r="E326" s="332">
        <v>415.39</v>
      </c>
      <c r="F326" s="325">
        <v>102.79</v>
      </c>
      <c r="G326" s="436">
        <f>ROUND(E326*F326,2)</f>
        <v>42697.94</v>
      </c>
    </row>
    <row r="327" spans="2:7" hidden="1" outlineLevel="2">
      <c r="B327" s="330" t="s">
        <v>549</v>
      </c>
      <c r="C327" s="121" t="s">
        <v>550</v>
      </c>
      <c r="D327" s="332" t="s">
        <v>64</v>
      </c>
      <c r="E327" s="332">
        <v>662.4</v>
      </c>
      <c r="F327" s="325">
        <v>2.8</v>
      </c>
      <c r="G327" s="436">
        <f>ROUND(E327*F327,2)</f>
        <v>1854.72</v>
      </c>
    </row>
    <row r="328" spans="2:7" hidden="1" outlineLevel="2">
      <c r="B328" s="330" t="s">
        <v>551</v>
      </c>
      <c r="C328" s="121" t="s">
        <v>552</v>
      </c>
      <c r="D328" s="332" t="s">
        <v>57</v>
      </c>
      <c r="E328" s="332">
        <v>830.78</v>
      </c>
      <c r="F328" s="325">
        <v>26.77</v>
      </c>
      <c r="G328" s="436">
        <f>ROUND(E328*F328,2)</f>
        <v>22239.98</v>
      </c>
    </row>
    <row r="329" spans="2:7" hidden="1" outlineLevel="2">
      <c r="B329" s="331" t="s">
        <v>553</v>
      </c>
      <c r="C329" s="324" t="s">
        <v>134</v>
      </c>
      <c r="D329" s="332"/>
      <c r="E329" s="332"/>
      <c r="F329" s="325"/>
      <c r="G329" s="435">
        <f>+SUBTOTAL(9,G330)</f>
        <v>15023.94</v>
      </c>
    </row>
    <row r="330" spans="2:7" hidden="1" outlineLevel="2">
      <c r="B330" s="330" t="s">
        <v>554</v>
      </c>
      <c r="C330" s="121" t="s">
        <v>555</v>
      </c>
      <c r="D330" s="332" t="s">
        <v>57</v>
      </c>
      <c r="E330" s="332">
        <v>548.91999999999996</v>
      </c>
      <c r="F330" s="325">
        <v>27.37</v>
      </c>
      <c r="G330" s="436">
        <f>ROUND(E330*F330,2)</f>
        <v>15023.94</v>
      </c>
    </row>
    <row r="331" spans="2:7" hidden="1" outlineLevel="2">
      <c r="B331" s="331" t="s">
        <v>556</v>
      </c>
      <c r="C331" s="324" t="s">
        <v>162</v>
      </c>
      <c r="D331" s="332"/>
      <c r="E331" s="332"/>
      <c r="F331" s="325"/>
      <c r="G331" s="435">
        <f>+SUBTOTAL(9,G332)</f>
        <v>3753</v>
      </c>
    </row>
    <row r="332" spans="2:7" hidden="1" outlineLevel="2">
      <c r="B332" s="330" t="s">
        <v>557</v>
      </c>
      <c r="C332" s="121" t="s">
        <v>558</v>
      </c>
      <c r="D332" s="332" t="s">
        <v>287</v>
      </c>
      <c r="E332" s="332">
        <v>1</v>
      </c>
      <c r="F332" s="325">
        <v>3753</v>
      </c>
      <c r="G332" s="436">
        <f>ROUND(E332*F332,2)</f>
        <v>3753</v>
      </c>
    </row>
    <row r="333" spans="2:7" hidden="1" outlineLevel="2">
      <c r="B333" s="331" t="s">
        <v>559</v>
      </c>
      <c r="C333" s="324" t="s">
        <v>174</v>
      </c>
      <c r="D333" s="332"/>
      <c r="E333" s="332"/>
      <c r="F333" s="325"/>
      <c r="G333" s="435">
        <f>+SUBTOTAL(9,G334:G335)</f>
        <v>14765.47</v>
      </c>
    </row>
    <row r="334" spans="2:7" hidden="1" outlineLevel="2">
      <c r="B334" s="330" t="s">
        <v>560</v>
      </c>
      <c r="C334" s="121" t="s">
        <v>561</v>
      </c>
      <c r="D334" s="332" t="s">
        <v>57</v>
      </c>
      <c r="E334" s="332">
        <v>830.78</v>
      </c>
      <c r="F334" s="325">
        <v>10.32</v>
      </c>
      <c r="G334" s="436">
        <f>ROUND(E334*F334,2)</f>
        <v>8573.65</v>
      </c>
    </row>
    <row r="335" spans="2:7" hidden="1" outlineLevel="2">
      <c r="B335" s="330" t="s">
        <v>562</v>
      </c>
      <c r="C335" s="121" t="s">
        <v>563</v>
      </c>
      <c r="D335" s="332" t="s">
        <v>57</v>
      </c>
      <c r="E335" s="332">
        <v>548.91999999999996</v>
      </c>
      <c r="F335" s="325">
        <v>11.28</v>
      </c>
      <c r="G335" s="436">
        <f>ROUND(E335*F335,2)</f>
        <v>6191.82</v>
      </c>
    </row>
    <row r="336" spans="2:7" hidden="1" outlineLevel="2">
      <c r="B336" s="331" t="s">
        <v>564</v>
      </c>
      <c r="C336" s="324" t="s">
        <v>185</v>
      </c>
      <c r="D336" s="332"/>
      <c r="E336" s="332"/>
      <c r="F336" s="325"/>
      <c r="G336" s="435">
        <f>+SUBTOTAL(9,G337:G339)</f>
        <v>9791.6299999999992</v>
      </c>
    </row>
    <row r="337" spans="2:7" hidden="1" outlineLevel="2">
      <c r="B337" s="330" t="s">
        <v>560</v>
      </c>
      <c r="C337" s="121" t="s">
        <v>187</v>
      </c>
      <c r="D337" s="332" t="s">
        <v>57</v>
      </c>
      <c r="E337" s="332">
        <v>162.06</v>
      </c>
      <c r="F337" s="325">
        <v>28.06</v>
      </c>
      <c r="G337" s="436">
        <f>ROUND(E337*F337,2)</f>
        <v>4547.3999999999996</v>
      </c>
    </row>
    <row r="338" spans="2:7" hidden="1" outlineLevel="2">
      <c r="B338" s="330" t="s">
        <v>562</v>
      </c>
      <c r="C338" s="121" t="s">
        <v>193</v>
      </c>
      <c r="D338" s="332" t="s">
        <v>57</v>
      </c>
      <c r="E338" s="332">
        <v>477.16</v>
      </c>
      <c r="F338" s="325">
        <v>10.27</v>
      </c>
      <c r="G338" s="436">
        <f>ROUND(E338*F338,2)</f>
        <v>4900.43</v>
      </c>
    </row>
    <row r="339" spans="2:7" hidden="1" outlineLevel="2">
      <c r="B339" s="330" t="s">
        <v>565</v>
      </c>
      <c r="C339" s="121" t="s">
        <v>183</v>
      </c>
      <c r="D339" s="332" t="s">
        <v>43</v>
      </c>
      <c r="E339" s="332">
        <v>12</v>
      </c>
      <c r="F339" s="325">
        <v>28.65</v>
      </c>
      <c r="G339" s="436">
        <f>ROUND(E339*F339,2)</f>
        <v>343.8</v>
      </c>
    </row>
    <row r="340" spans="2:7" hidden="1" outlineLevel="1" collapsed="1">
      <c r="B340" s="331" t="s">
        <v>566</v>
      </c>
      <c r="C340" s="324" t="s">
        <v>567</v>
      </c>
      <c r="D340" s="332"/>
      <c r="E340" s="332"/>
      <c r="F340" s="325"/>
      <c r="G340" s="435">
        <f>+SUBTOTAL(9,G341:G350)</f>
        <v>12654.449999999999</v>
      </c>
    </row>
    <row r="341" spans="2:7" hidden="1" outlineLevel="2">
      <c r="B341" s="331" t="s">
        <v>568</v>
      </c>
      <c r="C341" s="324" t="s">
        <v>54</v>
      </c>
      <c r="D341" s="332"/>
      <c r="E341" s="332"/>
      <c r="F341" s="325"/>
      <c r="G341" s="435">
        <f>+SUBTOTAL(9,G342:G343)</f>
        <v>9858.25</v>
      </c>
    </row>
    <row r="342" spans="2:7" hidden="1" outlineLevel="2">
      <c r="B342" s="330" t="s">
        <v>569</v>
      </c>
      <c r="C342" s="121" t="s">
        <v>56</v>
      </c>
      <c r="D342" s="332" t="s">
        <v>57</v>
      </c>
      <c r="E342" s="332">
        <v>74.150000000000006</v>
      </c>
      <c r="F342" s="325">
        <v>68.64</v>
      </c>
      <c r="G342" s="436">
        <f>ROUND(E342*F342,2)</f>
        <v>5089.66</v>
      </c>
    </row>
    <row r="343" spans="2:7" hidden="1" outlineLevel="2">
      <c r="B343" s="330" t="s">
        <v>570</v>
      </c>
      <c r="C343" s="121" t="s">
        <v>199</v>
      </c>
      <c r="D343" s="332" t="s">
        <v>57</v>
      </c>
      <c r="E343" s="332">
        <v>74.150000000000006</v>
      </c>
      <c r="F343" s="325">
        <v>64.31</v>
      </c>
      <c r="G343" s="436">
        <f>ROUND(E343*F343,2)</f>
        <v>4768.59</v>
      </c>
    </row>
    <row r="344" spans="2:7" hidden="1" outlineLevel="2">
      <c r="B344" s="331" t="s">
        <v>571</v>
      </c>
      <c r="C344" s="324" t="s">
        <v>66</v>
      </c>
      <c r="D344" s="332"/>
      <c r="E344" s="332"/>
      <c r="F344" s="325"/>
      <c r="G344" s="435">
        <f>+SUBTOTAL(9,G345:G348)</f>
        <v>1311.72</v>
      </c>
    </row>
    <row r="345" spans="2:7" hidden="1" outlineLevel="2">
      <c r="B345" s="330" t="s">
        <v>572</v>
      </c>
      <c r="C345" s="121" t="s">
        <v>573</v>
      </c>
      <c r="D345" s="332" t="s">
        <v>69</v>
      </c>
      <c r="E345" s="332">
        <v>9.26</v>
      </c>
      <c r="F345" s="325">
        <v>9.9600000000000009</v>
      </c>
      <c r="G345" s="436">
        <f>ROUND(E345*F345,2)</f>
        <v>92.23</v>
      </c>
    </row>
    <row r="346" spans="2:7" hidden="1" outlineLevel="2">
      <c r="B346" s="330" t="s">
        <v>574</v>
      </c>
      <c r="C346" s="121" t="s">
        <v>73</v>
      </c>
      <c r="D346" s="332" t="s">
        <v>57</v>
      </c>
      <c r="E346" s="332">
        <v>74.150000000000006</v>
      </c>
      <c r="F346" s="325">
        <v>14.12</v>
      </c>
      <c r="G346" s="436">
        <f>ROUND(E346*F346,2)</f>
        <v>1047</v>
      </c>
    </row>
    <row r="347" spans="2:7" hidden="1" outlineLevel="2">
      <c r="B347" s="330" t="s">
        <v>575</v>
      </c>
      <c r="C347" s="121" t="s">
        <v>576</v>
      </c>
      <c r="D347" s="332" t="s">
        <v>69</v>
      </c>
      <c r="E347" s="332">
        <v>0.53</v>
      </c>
      <c r="F347" s="325">
        <v>86.44</v>
      </c>
      <c r="G347" s="436">
        <f>ROUND(E347*F347,2)</f>
        <v>45.81</v>
      </c>
    </row>
    <row r="348" spans="2:7" hidden="1" outlineLevel="2">
      <c r="B348" s="330" t="s">
        <v>577</v>
      </c>
      <c r="C348" s="121" t="s">
        <v>77</v>
      </c>
      <c r="D348" s="332" t="s">
        <v>69</v>
      </c>
      <c r="E348" s="332">
        <v>9.26</v>
      </c>
      <c r="F348" s="325">
        <v>13.68</v>
      </c>
      <c r="G348" s="436">
        <f>ROUND(E348*F348,2)</f>
        <v>126.68</v>
      </c>
    </row>
    <row r="349" spans="2:7" hidden="1" outlineLevel="2">
      <c r="B349" s="331" t="s">
        <v>578</v>
      </c>
      <c r="C349" s="324" t="s">
        <v>579</v>
      </c>
      <c r="D349" s="332"/>
      <c r="E349" s="332"/>
      <c r="F349" s="325"/>
      <c r="G349" s="435">
        <f>+SUBTOTAL(9,G350)</f>
        <v>1484.48</v>
      </c>
    </row>
    <row r="350" spans="2:7" hidden="1" outlineLevel="2">
      <c r="B350" s="330" t="s">
        <v>580</v>
      </c>
      <c r="C350" s="121" t="s">
        <v>581</v>
      </c>
      <c r="D350" s="332" t="s">
        <v>57</v>
      </c>
      <c r="E350" s="332">
        <v>74.150000000000006</v>
      </c>
      <c r="F350" s="325">
        <v>20.02</v>
      </c>
      <c r="G350" s="436">
        <f>ROUND(E350*F350,2)</f>
        <v>1484.48</v>
      </c>
    </row>
    <row r="351" spans="2:7" hidden="1" outlineLevel="1">
      <c r="B351" s="331">
        <v>1.04</v>
      </c>
      <c r="C351" s="324" t="s">
        <v>582</v>
      </c>
      <c r="D351" s="332"/>
      <c r="E351" s="332"/>
      <c r="F351" s="325"/>
      <c r="G351" s="435">
        <f>+SUBTOTAL(9,G352:G571)</f>
        <v>3641653.3300000019</v>
      </c>
    </row>
    <row r="352" spans="2:7" hidden="1" outlineLevel="1" collapsed="1">
      <c r="B352" s="331" t="s">
        <v>583</v>
      </c>
      <c r="C352" s="324" t="s">
        <v>584</v>
      </c>
      <c r="D352" s="332"/>
      <c r="E352" s="332"/>
      <c r="F352" s="325"/>
      <c r="G352" s="435">
        <f>+SUBTOTAL(9,G353:G422)</f>
        <v>3215231.7100000018</v>
      </c>
    </row>
    <row r="353" spans="2:7" hidden="1" outlineLevel="2">
      <c r="B353" s="331" t="s">
        <v>585</v>
      </c>
      <c r="C353" s="324" t="s">
        <v>54</v>
      </c>
      <c r="D353" s="332"/>
      <c r="E353" s="332"/>
      <c r="F353" s="325"/>
      <c r="G353" s="435">
        <f>+SUBTOTAL(9,G354:G357)</f>
        <v>119798.07</v>
      </c>
    </row>
    <row r="354" spans="2:7" hidden="1" outlineLevel="2">
      <c r="B354" s="330" t="s">
        <v>586</v>
      </c>
      <c r="C354" s="121" t="s">
        <v>56</v>
      </c>
      <c r="D354" s="332" t="s">
        <v>57</v>
      </c>
      <c r="E354" s="332">
        <v>637.94000000000005</v>
      </c>
      <c r="F354" s="325">
        <v>68.64</v>
      </c>
      <c r="G354" s="436">
        <f>ROUND(E354*F354,2)</f>
        <v>43788.2</v>
      </c>
    </row>
    <row r="355" spans="2:7" hidden="1" outlineLevel="2">
      <c r="B355" s="330" t="s">
        <v>587</v>
      </c>
      <c r="C355" s="121" t="s">
        <v>59</v>
      </c>
      <c r="D355" s="332" t="s">
        <v>57</v>
      </c>
      <c r="E355" s="332">
        <v>637.94000000000005</v>
      </c>
      <c r="F355" s="325">
        <v>115.11</v>
      </c>
      <c r="G355" s="436">
        <f>ROUND(E355*F355,2)</f>
        <v>73433.27</v>
      </c>
    </row>
    <row r="356" spans="2:7" hidden="1" outlineLevel="2">
      <c r="B356" s="330" t="s">
        <v>588</v>
      </c>
      <c r="C356" s="121" t="s">
        <v>61</v>
      </c>
      <c r="D356" s="332" t="s">
        <v>57</v>
      </c>
      <c r="E356" s="332">
        <v>637.94000000000005</v>
      </c>
      <c r="F356" s="325">
        <v>2.9</v>
      </c>
      <c r="G356" s="436">
        <f>ROUND(E356*F356,2)</f>
        <v>1850.03</v>
      </c>
    </row>
    <row r="357" spans="2:7" hidden="1" outlineLevel="2">
      <c r="B357" s="330" t="s">
        <v>589</v>
      </c>
      <c r="C357" s="121" t="s">
        <v>63</v>
      </c>
      <c r="D357" s="332" t="s">
        <v>64</v>
      </c>
      <c r="E357" s="332">
        <v>175.5</v>
      </c>
      <c r="F357" s="325">
        <v>4.1399999999999997</v>
      </c>
      <c r="G357" s="436">
        <f>ROUND(E357*F357,2)</f>
        <v>726.57</v>
      </c>
    </row>
    <row r="358" spans="2:7" hidden="1" outlineLevel="2">
      <c r="B358" s="331" t="s">
        <v>590</v>
      </c>
      <c r="C358" s="324" t="s">
        <v>66</v>
      </c>
      <c r="D358" s="332"/>
      <c r="E358" s="332"/>
      <c r="F358" s="325"/>
      <c r="G358" s="435">
        <f>+SUBTOTAL(9,G359:G363)</f>
        <v>1500127.2300000002</v>
      </c>
    </row>
    <row r="359" spans="2:7" hidden="1" outlineLevel="2">
      <c r="B359" s="330" t="s">
        <v>591</v>
      </c>
      <c r="C359" s="121" t="s">
        <v>68</v>
      </c>
      <c r="D359" s="332" t="s">
        <v>69</v>
      </c>
      <c r="E359" s="327">
        <v>5135.29</v>
      </c>
      <c r="F359" s="325">
        <v>238.3</v>
      </c>
      <c r="G359" s="436">
        <f>ROUND(E359*F359,2)</f>
        <v>1223739.6100000001</v>
      </c>
    </row>
    <row r="360" spans="2:7" hidden="1" outlineLevel="2">
      <c r="B360" s="330" t="s">
        <v>592</v>
      </c>
      <c r="C360" s="121" t="s">
        <v>71</v>
      </c>
      <c r="D360" s="332" t="s">
        <v>69</v>
      </c>
      <c r="E360" s="332">
        <v>529.63</v>
      </c>
      <c r="F360" s="325">
        <v>294</v>
      </c>
      <c r="G360" s="436">
        <f>ROUND(E360*F360,2)</f>
        <v>155711.22</v>
      </c>
    </row>
    <row r="361" spans="2:7" hidden="1" outlineLevel="2">
      <c r="B361" s="330" t="s">
        <v>593</v>
      </c>
      <c r="C361" s="121" t="s">
        <v>73</v>
      </c>
      <c r="D361" s="332" t="s">
        <v>57</v>
      </c>
      <c r="E361" s="332">
        <v>637.94000000000005</v>
      </c>
      <c r="F361" s="325">
        <v>14.12</v>
      </c>
      <c r="G361" s="436">
        <f>ROUND(E361*F361,2)</f>
        <v>9007.7099999999991</v>
      </c>
    </row>
    <row r="362" spans="2:7" hidden="1" outlineLevel="2">
      <c r="B362" s="330" t="s">
        <v>594</v>
      </c>
      <c r="C362" s="121" t="s">
        <v>75</v>
      </c>
      <c r="D362" s="332" t="s">
        <v>69</v>
      </c>
      <c r="E362" s="332">
        <v>353.9</v>
      </c>
      <c r="F362" s="325">
        <v>96.56</v>
      </c>
      <c r="G362" s="436">
        <f>ROUND(E362*F362,2)</f>
        <v>34172.58</v>
      </c>
    </row>
    <row r="363" spans="2:7" hidden="1" outlineLevel="2">
      <c r="B363" s="330" t="s">
        <v>595</v>
      </c>
      <c r="C363" s="121" t="s">
        <v>77</v>
      </c>
      <c r="D363" s="332" t="s">
        <v>69</v>
      </c>
      <c r="E363" s="327">
        <v>5664.92</v>
      </c>
      <c r="F363" s="325">
        <v>13.68</v>
      </c>
      <c r="G363" s="436">
        <f>ROUND(E363*F363,2)</f>
        <v>77496.11</v>
      </c>
    </row>
    <row r="364" spans="2:7" hidden="1" outlineLevel="2">
      <c r="B364" s="331" t="s">
        <v>596</v>
      </c>
      <c r="C364" s="324" t="s">
        <v>79</v>
      </c>
      <c r="D364" s="332"/>
      <c r="E364" s="332"/>
      <c r="F364" s="325"/>
      <c r="G364" s="435">
        <f>+SUBTOTAL(9,G365:G366)</f>
        <v>87204.400000000009</v>
      </c>
    </row>
    <row r="365" spans="2:7" hidden="1" outlineLevel="2">
      <c r="B365" s="330" t="s">
        <v>597</v>
      </c>
      <c r="C365" s="121" t="s">
        <v>81</v>
      </c>
      <c r="D365" s="332" t="s">
        <v>69</v>
      </c>
      <c r="E365" s="332">
        <v>42.98</v>
      </c>
      <c r="F365" s="325">
        <v>398.62</v>
      </c>
      <c r="G365" s="436">
        <f>ROUND(E365*F365,2)</f>
        <v>17132.689999999999</v>
      </c>
    </row>
    <row r="366" spans="2:7" hidden="1" outlineLevel="2">
      <c r="B366" s="330" t="s">
        <v>598</v>
      </c>
      <c r="C366" s="121" t="s">
        <v>83</v>
      </c>
      <c r="D366" s="332" t="s">
        <v>69</v>
      </c>
      <c r="E366" s="332">
        <v>185.37</v>
      </c>
      <c r="F366" s="325">
        <v>378.01</v>
      </c>
      <c r="G366" s="436">
        <f>ROUND(E366*F366,2)</f>
        <v>70071.710000000006</v>
      </c>
    </row>
    <row r="367" spans="2:7" hidden="1" outlineLevel="2">
      <c r="B367" s="331" t="s">
        <v>599</v>
      </c>
      <c r="C367" s="324" t="s">
        <v>85</v>
      </c>
      <c r="D367" s="332"/>
      <c r="E367" s="332"/>
      <c r="F367" s="325"/>
      <c r="G367" s="435">
        <f>+SUBTOTAL(9,G368:G390)</f>
        <v>1071600.3599999999</v>
      </c>
    </row>
    <row r="368" spans="2:7" hidden="1" outlineLevel="2">
      <c r="B368" s="331" t="s">
        <v>600</v>
      </c>
      <c r="C368" s="324" t="s">
        <v>87</v>
      </c>
      <c r="D368" s="332"/>
      <c r="E368" s="332"/>
      <c r="F368" s="325"/>
      <c r="G368" s="435">
        <f>+SUBTOTAL(9,G369:G371)</f>
        <v>195519.59</v>
      </c>
    </row>
    <row r="369" spans="2:7" hidden="1" outlineLevel="2">
      <c r="B369" s="330" t="s">
        <v>601</v>
      </c>
      <c r="C369" s="121" t="s">
        <v>89</v>
      </c>
      <c r="D369" s="332" t="s">
        <v>69</v>
      </c>
      <c r="E369" s="332">
        <v>154.66</v>
      </c>
      <c r="F369" s="325">
        <v>476.71</v>
      </c>
      <c r="G369" s="436">
        <f>ROUND(E369*F369,2)</f>
        <v>73727.97</v>
      </c>
    </row>
    <row r="370" spans="2:7" hidden="1" outlineLevel="2">
      <c r="B370" s="330" t="s">
        <v>602</v>
      </c>
      <c r="C370" s="121" t="s">
        <v>91</v>
      </c>
      <c r="D370" s="332" t="s">
        <v>57</v>
      </c>
      <c r="E370" s="332">
        <v>34.630000000000003</v>
      </c>
      <c r="F370" s="325">
        <v>49.36</v>
      </c>
      <c r="G370" s="436">
        <f>ROUND(E370*F370,2)</f>
        <v>1709.34</v>
      </c>
    </row>
    <row r="371" spans="2:7" hidden="1" outlineLevel="2">
      <c r="B371" s="330" t="s">
        <v>603</v>
      </c>
      <c r="C371" s="121" t="s">
        <v>93</v>
      </c>
      <c r="D371" s="332" t="s">
        <v>94</v>
      </c>
      <c r="E371" s="327">
        <v>16293.39</v>
      </c>
      <c r="F371" s="325">
        <v>7.37</v>
      </c>
      <c r="G371" s="436">
        <f>ROUND(E371*F371,2)</f>
        <v>120082.28</v>
      </c>
    </row>
    <row r="372" spans="2:7" hidden="1" outlineLevel="2">
      <c r="B372" s="331" t="s">
        <v>604</v>
      </c>
      <c r="C372" s="324" t="s">
        <v>96</v>
      </c>
      <c r="D372" s="332"/>
      <c r="E372" s="332"/>
      <c r="F372" s="325"/>
      <c r="G372" s="435">
        <f>+SUBTOTAL(9,G373:G374)</f>
        <v>138615.26999999999</v>
      </c>
    </row>
    <row r="373" spans="2:7" hidden="1" outlineLevel="2">
      <c r="B373" s="330" t="s">
        <v>605</v>
      </c>
      <c r="C373" s="121" t="s">
        <v>98</v>
      </c>
      <c r="D373" s="332" t="s">
        <v>69</v>
      </c>
      <c r="E373" s="332">
        <v>128.94</v>
      </c>
      <c r="F373" s="325">
        <v>476.71</v>
      </c>
      <c r="G373" s="436">
        <f>ROUND(E373*F373,2)</f>
        <v>61466.99</v>
      </c>
    </row>
    <row r="374" spans="2:7" hidden="1" outlineLevel="2">
      <c r="B374" s="330" t="s">
        <v>606</v>
      </c>
      <c r="C374" s="121" t="s">
        <v>100</v>
      </c>
      <c r="D374" s="332" t="s">
        <v>94</v>
      </c>
      <c r="E374" s="327">
        <v>10467.879999999999</v>
      </c>
      <c r="F374" s="325">
        <v>7.37</v>
      </c>
      <c r="G374" s="436">
        <f>ROUND(E374*F374,2)</f>
        <v>77148.28</v>
      </c>
    </row>
    <row r="375" spans="2:7" hidden="1" outlineLevel="2">
      <c r="B375" s="331" t="s">
        <v>607</v>
      </c>
      <c r="C375" s="324" t="s">
        <v>102</v>
      </c>
      <c r="D375" s="332"/>
      <c r="E375" s="332"/>
      <c r="F375" s="325"/>
      <c r="G375" s="435">
        <f>+SUBTOTAL(9,G376:G378)</f>
        <v>478881.73</v>
      </c>
    </row>
    <row r="376" spans="2:7" hidden="1" outlineLevel="2">
      <c r="B376" s="330" t="s">
        <v>608</v>
      </c>
      <c r="C376" s="121" t="s">
        <v>104</v>
      </c>
      <c r="D376" s="332" t="s">
        <v>69</v>
      </c>
      <c r="E376" s="332">
        <v>223.43</v>
      </c>
      <c r="F376" s="325">
        <v>479.71</v>
      </c>
      <c r="G376" s="436">
        <f>ROUND(E376*F376,2)</f>
        <v>107181.61</v>
      </c>
    </row>
    <row r="377" spans="2:7" hidden="1" outlineLevel="2">
      <c r="B377" s="330" t="s">
        <v>609</v>
      </c>
      <c r="C377" s="121" t="s">
        <v>106</v>
      </c>
      <c r="D377" s="332" t="s">
        <v>57</v>
      </c>
      <c r="E377" s="332">
        <v>993.06</v>
      </c>
      <c r="F377" s="325">
        <v>64.8</v>
      </c>
      <c r="G377" s="436">
        <f>ROUND(E377*F377,2)</f>
        <v>64350.29</v>
      </c>
    </row>
    <row r="378" spans="2:7" hidden="1" outlineLevel="2">
      <c r="B378" s="330" t="s">
        <v>610</v>
      </c>
      <c r="C378" s="121" t="s">
        <v>108</v>
      </c>
      <c r="D378" s="332" t="s">
        <v>94</v>
      </c>
      <c r="E378" s="327">
        <v>40925.410000000003</v>
      </c>
      <c r="F378" s="325">
        <v>7.51</v>
      </c>
      <c r="G378" s="436">
        <f>ROUND(E378*F378,2)</f>
        <v>307349.83</v>
      </c>
    </row>
    <row r="379" spans="2:7" hidden="1" outlineLevel="2">
      <c r="B379" s="331" t="s">
        <v>611</v>
      </c>
      <c r="C379" s="324" t="s">
        <v>110</v>
      </c>
      <c r="D379" s="332"/>
      <c r="E379" s="332"/>
      <c r="F379" s="325"/>
      <c r="G379" s="435">
        <f>+SUBTOTAL(9,G380:G382)</f>
        <v>805.02</v>
      </c>
    </row>
    <row r="380" spans="2:7" hidden="1" outlineLevel="2">
      <c r="B380" s="330" t="s">
        <v>612</v>
      </c>
      <c r="C380" s="121" t="s">
        <v>112</v>
      </c>
      <c r="D380" s="332" t="s">
        <v>69</v>
      </c>
      <c r="E380" s="332">
        <v>0.43</v>
      </c>
      <c r="F380" s="325">
        <v>485.11</v>
      </c>
      <c r="G380" s="436">
        <f>ROUND(E380*F380,2)</f>
        <v>208.6</v>
      </c>
    </row>
    <row r="381" spans="2:7" hidden="1" outlineLevel="2">
      <c r="B381" s="330" t="s">
        <v>613</v>
      </c>
      <c r="C381" s="121" t="s">
        <v>114</v>
      </c>
      <c r="D381" s="332" t="s">
        <v>57</v>
      </c>
      <c r="E381" s="332">
        <v>6.92</v>
      </c>
      <c r="F381" s="325">
        <v>49.36</v>
      </c>
      <c r="G381" s="436">
        <f>ROUND(E381*F381,2)</f>
        <v>341.57</v>
      </c>
    </row>
    <row r="382" spans="2:7" hidden="1" outlineLevel="2">
      <c r="B382" s="330" t="s">
        <v>614</v>
      </c>
      <c r="C382" s="121" t="s">
        <v>116</v>
      </c>
      <c r="D382" s="332" t="s">
        <v>94</v>
      </c>
      <c r="E382" s="332">
        <v>34.58</v>
      </c>
      <c r="F382" s="325">
        <v>7.37</v>
      </c>
      <c r="G382" s="436">
        <f>ROUND(E382*F382,2)</f>
        <v>254.85</v>
      </c>
    </row>
    <row r="383" spans="2:7" hidden="1" outlineLevel="2">
      <c r="B383" s="331" t="s">
        <v>615</v>
      </c>
      <c r="C383" s="324" t="s">
        <v>118</v>
      </c>
      <c r="D383" s="332"/>
      <c r="E383" s="332"/>
      <c r="F383" s="325"/>
      <c r="G383" s="435">
        <f>+SUBTOTAL(9,G384:G386)</f>
        <v>64837.95</v>
      </c>
    </row>
    <row r="384" spans="2:7" hidden="1" outlineLevel="2">
      <c r="B384" s="330" t="s">
        <v>616</v>
      </c>
      <c r="C384" s="121" t="s">
        <v>120</v>
      </c>
      <c r="D384" s="332" t="s">
        <v>69</v>
      </c>
      <c r="E384" s="332">
        <v>36.29</v>
      </c>
      <c r="F384" s="325">
        <v>485.11</v>
      </c>
      <c r="G384" s="436">
        <f>ROUND(E384*F384,2)</f>
        <v>17604.64</v>
      </c>
    </row>
    <row r="385" spans="2:7" hidden="1" outlineLevel="2">
      <c r="B385" s="330" t="s">
        <v>617</v>
      </c>
      <c r="C385" s="121" t="s">
        <v>122</v>
      </c>
      <c r="D385" s="332" t="s">
        <v>57</v>
      </c>
      <c r="E385" s="332">
        <v>109.71</v>
      </c>
      <c r="F385" s="325">
        <v>75.39</v>
      </c>
      <c r="G385" s="436">
        <f>ROUND(E385*F385,2)</f>
        <v>8271.0400000000009</v>
      </c>
    </row>
    <row r="386" spans="2:7" hidden="1" outlineLevel="2">
      <c r="B386" s="330" t="s">
        <v>618</v>
      </c>
      <c r="C386" s="121" t="s">
        <v>336</v>
      </c>
      <c r="D386" s="332" t="s">
        <v>94</v>
      </c>
      <c r="E386" s="327">
        <v>5208.8599999999997</v>
      </c>
      <c r="F386" s="325">
        <v>7.48</v>
      </c>
      <c r="G386" s="436">
        <f>ROUND(E386*F386,2)</f>
        <v>38962.269999999997</v>
      </c>
    </row>
    <row r="387" spans="2:7" hidden="1" outlineLevel="2">
      <c r="B387" s="331" t="s">
        <v>619</v>
      </c>
      <c r="C387" s="324" t="s">
        <v>126</v>
      </c>
      <c r="D387" s="332"/>
      <c r="E387" s="332"/>
      <c r="F387" s="325"/>
      <c r="G387" s="435">
        <f>+SUBTOTAL(9,G388:G390)</f>
        <v>192940.79999999999</v>
      </c>
    </row>
    <row r="388" spans="2:7" hidden="1" outlineLevel="2">
      <c r="B388" s="330" t="s">
        <v>620</v>
      </c>
      <c r="C388" s="121" t="s">
        <v>128</v>
      </c>
      <c r="D388" s="332" t="s">
        <v>69</v>
      </c>
      <c r="E388" s="332">
        <v>103.9</v>
      </c>
      <c r="F388" s="325">
        <v>485.11</v>
      </c>
      <c r="G388" s="436">
        <f>ROUND(E388*F388,2)</f>
        <v>50402.93</v>
      </c>
    </row>
    <row r="389" spans="2:7" hidden="1" outlineLevel="2">
      <c r="B389" s="330" t="s">
        <v>621</v>
      </c>
      <c r="C389" s="121" t="s">
        <v>130</v>
      </c>
      <c r="D389" s="332" t="s">
        <v>57</v>
      </c>
      <c r="E389" s="332">
        <v>594.77</v>
      </c>
      <c r="F389" s="325">
        <v>89.4</v>
      </c>
      <c r="G389" s="436">
        <f>ROUND(E389*F389,2)</f>
        <v>53172.44</v>
      </c>
    </row>
    <row r="390" spans="2:7" hidden="1" outlineLevel="2">
      <c r="B390" s="330" t="s">
        <v>622</v>
      </c>
      <c r="C390" s="121" t="s">
        <v>132</v>
      </c>
      <c r="D390" s="332" t="s">
        <v>94</v>
      </c>
      <c r="E390" s="327">
        <v>11947.25</v>
      </c>
      <c r="F390" s="325">
        <v>7.48</v>
      </c>
      <c r="G390" s="436">
        <f>ROUND(E390*F390,2)</f>
        <v>89365.43</v>
      </c>
    </row>
    <row r="391" spans="2:7" hidden="1" outlineLevel="2">
      <c r="B391" s="331" t="s">
        <v>623</v>
      </c>
      <c r="C391" s="324" t="s">
        <v>134</v>
      </c>
      <c r="D391" s="332"/>
      <c r="E391" s="332"/>
      <c r="F391" s="325"/>
      <c r="G391" s="435">
        <f>+SUBTOTAL(9,G392:G402)</f>
        <v>205680.50999999998</v>
      </c>
    </row>
    <row r="392" spans="2:7" ht="30" hidden="1" outlineLevel="2">
      <c r="B392" s="330" t="s">
        <v>624</v>
      </c>
      <c r="C392" s="121" t="s">
        <v>136</v>
      </c>
      <c r="D392" s="332" t="s">
        <v>57</v>
      </c>
      <c r="E392" s="332">
        <v>451.76</v>
      </c>
      <c r="F392" s="325">
        <v>28.74</v>
      </c>
      <c r="G392" s="436">
        <f t="shared" ref="G392:G402" si="6">ROUND(E392*F392,2)</f>
        <v>12983.58</v>
      </c>
    </row>
    <row r="393" spans="2:7" ht="30" hidden="1" outlineLevel="2">
      <c r="B393" s="330" t="s">
        <v>625</v>
      </c>
      <c r="C393" s="121" t="s">
        <v>138</v>
      </c>
      <c r="D393" s="332" t="s">
        <v>57</v>
      </c>
      <c r="E393" s="332">
        <v>451.76</v>
      </c>
      <c r="F393" s="325">
        <v>28.74</v>
      </c>
      <c r="G393" s="436">
        <f t="shared" si="6"/>
        <v>12983.58</v>
      </c>
    </row>
    <row r="394" spans="2:7" ht="30" hidden="1" outlineLevel="2">
      <c r="B394" s="330" t="s">
        <v>626</v>
      </c>
      <c r="C394" s="121" t="s">
        <v>140</v>
      </c>
      <c r="D394" s="332" t="s">
        <v>57</v>
      </c>
      <c r="E394" s="332">
        <v>538.37</v>
      </c>
      <c r="F394" s="325">
        <v>28.74</v>
      </c>
      <c r="G394" s="436">
        <f t="shared" si="6"/>
        <v>15472.75</v>
      </c>
    </row>
    <row r="395" spans="2:7" ht="30" hidden="1" outlineLevel="2">
      <c r="B395" s="330" t="s">
        <v>627</v>
      </c>
      <c r="C395" s="121" t="s">
        <v>142</v>
      </c>
      <c r="D395" s="332" t="s">
        <v>57</v>
      </c>
      <c r="E395" s="332">
        <v>538.37</v>
      </c>
      <c r="F395" s="325">
        <v>29.3</v>
      </c>
      <c r="G395" s="436">
        <f t="shared" si="6"/>
        <v>15774.24</v>
      </c>
    </row>
    <row r="396" spans="2:7" hidden="1" outlineLevel="2">
      <c r="B396" s="330" t="s">
        <v>628</v>
      </c>
      <c r="C396" s="121" t="s">
        <v>144</v>
      </c>
      <c r="D396" s="332" t="s">
        <v>57</v>
      </c>
      <c r="E396" s="332">
        <v>666.03</v>
      </c>
      <c r="F396" s="325">
        <v>27.37</v>
      </c>
      <c r="G396" s="436">
        <f t="shared" si="6"/>
        <v>18229.240000000002</v>
      </c>
    </row>
    <row r="397" spans="2:7" hidden="1" outlineLevel="2">
      <c r="B397" s="330" t="s">
        <v>629</v>
      </c>
      <c r="C397" s="121" t="s">
        <v>146</v>
      </c>
      <c r="D397" s="332" t="s">
        <v>57</v>
      </c>
      <c r="E397" s="332">
        <v>666.03</v>
      </c>
      <c r="F397" s="325">
        <v>27.37</v>
      </c>
      <c r="G397" s="436">
        <f t="shared" si="6"/>
        <v>18229.240000000002</v>
      </c>
    </row>
    <row r="398" spans="2:7" ht="30" hidden="1" outlineLevel="2">
      <c r="B398" s="330" t="s">
        <v>630</v>
      </c>
      <c r="C398" s="121" t="s">
        <v>148</v>
      </c>
      <c r="D398" s="332" t="s">
        <v>57</v>
      </c>
      <c r="E398" s="332">
        <v>594.77</v>
      </c>
      <c r="F398" s="325">
        <v>55.84</v>
      </c>
      <c r="G398" s="436">
        <f t="shared" si="6"/>
        <v>33211.96</v>
      </c>
    </row>
    <row r="399" spans="2:7" ht="30" hidden="1" outlineLevel="2">
      <c r="B399" s="330" t="s">
        <v>631</v>
      </c>
      <c r="C399" s="121" t="s">
        <v>150</v>
      </c>
      <c r="D399" s="332" t="s">
        <v>57</v>
      </c>
      <c r="E399" s="332">
        <v>594.77</v>
      </c>
      <c r="F399" s="325">
        <v>55.84</v>
      </c>
      <c r="G399" s="436">
        <f t="shared" si="6"/>
        <v>33211.96</v>
      </c>
    </row>
    <row r="400" spans="2:7" hidden="1" outlineLevel="2">
      <c r="B400" s="330" t="s">
        <v>632</v>
      </c>
      <c r="C400" s="121" t="s">
        <v>152</v>
      </c>
      <c r="D400" s="332" t="s">
        <v>57</v>
      </c>
      <c r="E400" s="332">
        <v>609.6</v>
      </c>
      <c r="F400" s="325">
        <v>27.37</v>
      </c>
      <c r="G400" s="436">
        <f t="shared" si="6"/>
        <v>16684.75</v>
      </c>
    </row>
    <row r="401" spans="2:8" hidden="1" outlineLevel="2">
      <c r="B401" s="330" t="s">
        <v>633</v>
      </c>
      <c r="C401" s="121" t="s">
        <v>154</v>
      </c>
      <c r="D401" s="332" t="s">
        <v>57</v>
      </c>
      <c r="E401" s="332">
        <v>609.6</v>
      </c>
      <c r="F401" s="325">
        <v>27.37</v>
      </c>
      <c r="G401" s="436">
        <f t="shared" si="6"/>
        <v>16684.75</v>
      </c>
    </row>
    <row r="402" spans="2:8" hidden="1" outlineLevel="2">
      <c r="B402" s="330" t="s">
        <v>634</v>
      </c>
      <c r="C402" s="121" t="s">
        <v>156</v>
      </c>
      <c r="D402" s="332" t="s">
        <v>57</v>
      </c>
      <c r="E402" s="327">
        <v>2860.53</v>
      </c>
      <c r="F402" s="325">
        <v>4.2699999999999996</v>
      </c>
      <c r="G402" s="436">
        <f t="shared" si="6"/>
        <v>12214.46</v>
      </c>
    </row>
    <row r="403" spans="2:8" hidden="1" outlineLevel="2">
      <c r="B403" s="331" t="s">
        <v>635</v>
      </c>
      <c r="C403" s="324" t="s">
        <v>158</v>
      </c>
      <c r="D403" s="332"/>
      <c r="E403" s="332"/>
      <c r="F403" s="325"/>
      <c r="G403" s="435">
        <f>+SUBTOTAL(9,G404)</f>
        <v>5367.25</v>
      </c>
    </row>
    <row r="404" spans="2:8" hidden="1" outlineLevel="2">
      <c r="B404" s="330" t="s">
        <v>636</v>
      </c>
      <c r="C404" s="121" t="s">
        <v>160</v>
      </c>
      <c r="D404" s="332" t="s">
        <v>57</v>
      </c>
      <c r="E404" s="332">
        <v>80.3</v>
      </c>
      <c r="F404" s="325">
        <v>66.84</v>
      </c>
      <c r="G404" s="436">
        <f>ROUND(E404*F404,2)</f>
        <v>5367.25</v>
      </c>
    </row>
    <row r="405" spans="2:8" hidden="1" outlineLevel="2">
      <c r="B405" s="331" t="s">
        <v>637</v>
      </c>
      <c r="C405" s="324" t="s">
        <v>162</v>
      </c>
      <c r="D405" s="332"/>
      <c r="E405" s="332"/>
      <c r="F405" s="325"/>
      <c r="G405" s="435">
        <f>+SUBTOTAL(9,G406:G411)</f>
        <v>27352.969999999998</v>
      </c>
    </row>
    <row r="406" spans="2:8" hidden="1" outlineLevel="2">
      <c r="B406" s="330" t="s">
        <v>638</v>
      </c>
      <c r="C406" s="121" t="s">
        <v>164</v>
      </c>
      <c r="D406" s="332" t="s">
        <v>64</v>
      </c>
      <c r="E406" s="332">
        <v>7.6</v>
      </c>
      <c r="F406" s="325">
        <v>1663.38</v>
      </c>
      <c r="G406" s="436">
        <f t="shared" ref="G406:G411" si="7">ROUND(E406*F406,2)</f>
        <v>12641.69</v>
      </c>
    </row>
    <row r="407" spans="2:8" hidden="1" outlineLevel="2">
      <c r="B407" s="330" t="s">
        <v>639</v>
      </c>
      <c r="C407" s="121" t="s">
        <v>166</v>
      </c>
      <c r="D407" s="332" t="s">
        <v>64</v>
      </c>
      <c r="E407" s="332">
        <v>5.7</v>
      </c>
      <c r="F407" s="325">
        <v>799.69</v>
      </c>
      <c r="G407" s="436">
        <f t="shared" si="7"/>
        <v>4558.2299999999996</v>
      </c>
    </row>
    <row r="408" spans="2:8" ht="30" hidden="1" outlineLevel="2">
      <c r="B408" s="330" t="s">
        <v>640</v>
      </c>
      <c r="C408" s="121" t="s">
        <v>168</v>
      </c>
      <c r="D408" s="332" t="s">
        <v>43</v>
      </c>
      <c r="E408" s="332">
        <v>1</v>
      </c>
      <c r="F408" s="325">
        <v>1087.28</v>
      </c>
      <c r="G408" s="436">
        <f t="shared" si="7"/>
        <v>1087.28</v>
      </c>
    </row>
    <row r="409" spans="2:8" hidden="1" outlineLevel="2">
      <c r="B409" s="330" t="s">
        <v>641</v>
      </c>
      <c r="C409" s="121" t="s">
        <v>170</v>
      </c>
      <c r="D409" s="332" t="s">
        <v>43</v>
      </c>
      <c r="E409" s="332">
        <v>6</v>
      </c>
      <c r="F409" s="325">
        <v>830.94</v>
      </c>
      <c r="G409" s="436">
        <f t="shared" si="7"/>
        <v>4985.6400000000003</v>
      </c>
    </row>
    <row r="410" spans="2:8" hidden="1" outlineLevel="2">
      <c r="B410" s="330" t="s">
        <v>642</v>
      </c>
      <c r="C410" s="121" t="s">
        <v>643</v>
      </c>
      <c r="D410" s="332" t="s">
        <v>43</v>
      </c>
      <c r="E410" s="332">
        <v>1</v>
      </c>
      <c r="F410" s="325">
        <v>1112.93</v>
      </c>
      <c r="G410" s="436">
        <f t="shared" si="7"/>
        <v>1112.93</v>
      </c>
    </row>
    <row r="411" spans="2:8" hidden="1" outlineLevel="2">
      <c r="B411" s="330" t="s">
        <v>644</v>
      </c>
      <c r="C411" s="121" t="s">
        <v>645</v>
      </c>
      <c r="D411" s="332" t="s">
        <v>43</v>
      </c>
      <c r="E411" s="332">
        <v>2</v>
      </c>
      <c r="F411" s="325">
        <v>1483.6</v>
      </c>
      <c r="G411" s="436">
        <f t="shared" si="7"/>
        <v>2967.2</v>
      </c>
    </row>
    <row r="412" spans="2:8" hidden="1" outlineLevel="2">
      <c r="B412" s="331" t="s">
        <v>646</v>
      </c>
      <c r="C412" s="324" t="s">
        <v>174</v>
      </c>
      <c r="D412" s="332"/>
      <c r="E412" s="332"/>
      <c r="F412" s="325"/>
      <c r="G412" s="435">
        <f>+SUBTOTAL(9,G413)</f>
        <v>13164.5</v>
      </c>
    </row>
    <row r="413" spans="2:8" hidden="1" outlineLevel="2">
      <c r="B413" s="330" t="s">
        <v>647</v>
      </c>
      <c r="C413" s="121" t="s">
        <v>648</v>
      </c>
      <c r="D413" s="332" t="s">
        <v>57</v>
      </c>
      <c r="E413" s="327">
        <v>1275.6300000000001</v>
      </c>
      <c r="F413" s="325">
        <v>10.32</v>
      </c>
      <c r="G413" s="436">
        <f>ROUND(E413*F413,2)</f>
        <v>13164.5</v>
      </c>
    </row>
    <row r="414" spans="2:8" hidden="1" outlineLevel="2">
      <c r="B414" s="331" t="s">
        <v>649</v>
      </c>
      <c r="C414" s="324" t="s">
        <v>178</v>
      </c>
      <c r="D414" s="332"/>
      <c r="E414" s="332"/>
      <c r="F414" s="325"/>
      <c r="G414" s="435">
        <f>+SUBTOTAL(9,G415:G417)</f>
        <v>150742.63999999998</v>
      </c>
    </row>
    <row r="415" spans="2:8" ht="30" hidden="1" outlineLevel="2">
      <c r="B415" s="330" t="s">
        <v>650</v>
      </c>
      <c r="C415" s="121" t="s">
        <v>651</v>
      </c>
      <c r="D415" s="332" t="s">
        <v>69</v>
      </c>
      <c r="E415" s="327">
        <v>2900</v>
      </c>
      <c r="F415" s="325">
        <v>48.95</v>
      </c>
      <c r="G415" s="436">
        <f>ROUND(E415*F415,2)</f>
        <v>141955</v>
      </c>
      <c r="H415" s="120"/>
    </row>
    <row r="416" spans="2:8" hidden="1" outlineLevel="2">
      <c r="B416" s="330" t="s">
        <v>652</v>
      </c>
      <c r="C416" s="121" t="s">
        <v>182</v>
      </c>
      <c r="D416" s="332" t="s">
        <v>57</v>
      </c>
      <c r="E416" s="327">
        <v>1584.9</v>
      </c>
      <c r="F416" s="325">
        <v>1.64</v>
      </c>
      <c r="G416" s="436">
        <f>ROUND(E416*F416,2)</f>
        <v>2599.2399999999998</v>
      </c>
      <c r="H416" s="120"/>
    </row>
    <row r="417" spans="2:7" hidden="1" outlineLevel="2">
      <c r="B417" s="330" t="s">
        <v>653</v>
      </c>
      <c r="C417" s="121" t="s">
        <v>183</v>
      </c>
      <c r="D417" s="332" t="s">
        <v>43</v>
      </c>
      <c r="E417" s="332">
        <v>216</v>
      </c>
      <c r="F417" s="325">
        <v>28.65</v>
      </c>
      <c r="G417" s="436">
        <f>ROUND(E417*F417,2)</f>
        <v>6188.4</v>
      </c>
    </row>
    <row r="418" spans="2:7" hidden="1" outlineLevel="2">
      <c r="B418" s="331" t="s">
        <v>654</v>
      </c>
      <c r="C418" s="324" t="s">
        <v>185</v>
      </c>
      <c r="D418" s="332"/>
      <c r="E418" s="332"/>
      <c r="F418" s="325"/>
      <c r="G418" s="435">
        <f>+SUBTOTAL(9,G419:G422)</f>
        <v>34193.78</v>
      </c>
    </row>
    <row r="419" spans="2:7" hidden="1" outlineLevel="2">
      <c r="B419" s="330" t="s">
        <v>655</v>
      </c>
      <c r="C419" s="121" t="s">
        <v>187</v>
      </c>
      <c r="D419" s="332" t="s">
        <v>57</v>
      </c>
      <c r="E419" s="332">
        <v>7.58</v>
      </c>
      <c r="F419" s="325">
        <v>28.06</v>
      </c>
      <c r="G419" s="436">
        <f>ROUND(E419*F419,2)</f>
        <v>212.69</v>
      </c>
    </row>
    <row r="420" spans="2:7" ht="30" hidden="1" outlineLevel="2">
      <c r="B420" s="330" t="s">
        <v>656</v>
      </c>
      <c r="C420" s="121" t="s">
        <v>189</v>
      </c>
      <c r="D420" s="332" t="s">
        <v>64</v>
      </c>
      <c r="E420" s="332">
        <v>16</v>
      </c>
      <c r="F420" s="325">
        <v>5.27</v>
      </c>
      <c r="G420" s="436">
        <f>ROUND(E420*F420,2)</f>
        <v>84.32</v>
      </c>
    </row>
    <row r="421" spans="2:7" hidden="1" outlineLevel="2">
      <c r="B421" s="330" t="s">
        <v>657</v>
      </c>
      <c r="C421" s="121" t="s">
        <v>191</v>
      </c>
      <c r="D421" s="332" t="s">
        <v>64</v>
      </c>
      <c r="E421" s="332">
        <v>417.83</v>
      </c>
      <c r="F421" s="325">
        <v>38.380000000000003</v>
      </c>
      <c r="G421" s="436">
        <f>ROUND(E421*F421,2)</f>
        <v>16036.32</v>
      </c>
    </row>
    <row r="422" spans="2:7" hidden="1" outlineLevel="2">
      <c r="B422" s="330" t="s">
        <v>658</v>
      </c>
      <c r="C422" s="121" t="s">
        <v>193</v>
      </c>
      <c r="D422" s="332" t="s">
        <v>57</v>
      </c>
      <c r="E422" s="327">
        <v>1739.09</v>
      </c>
      <c r="F422" s="325">
        <v>10.27</v>
      </c>
      <c r="G422" s="436">
        <f>ROUND(E422*F422,2)</f>
        <v>17860.45</v>
      </c>
    </row>
    <row r="423" spans="2:7" hidden="1" outlineLevel="1" collapsed="1">
      <c r="B423" s="331" t="s">
        <v>659</v>
      </c>
      <c r="C423" s="324" t="s">
        <v>195</v>
      </c>
      <c r="D423" s="332"/>
      <c r="E423" s="332"/>
      <c r="F423" s="325"/>
      <c r="G423" s="435">
        <f>+SUBTOTAL(9,G424:G492)</f>
        <v>127585.36999999998</v>
      </c>
    </row>
    <row r="424" spans="2:7" hidden="1" outlineLevel="2">
      <c r="B424" s="331" t="s">
        <v>660</v>
      </c>
      <c r="C424" s="324" t="s">
        <v>54</v>
      </c>
      <c r="D424" s="332"/>
      <c r="E424" s="332"/>
      <c r="F424" s="325"/>
      <c r="G424" s="435">
        <f>+SUBTOTAL(9,G425:G426)</f>
        <v>10943.119999999999</v>
      </c>
    </row>
    <row r="425" spans="2:7" hidden="1" outlineLevel="2">
      <c r="B425" s="330" t="s">
        <v>661</v>
      </c>
      <c r="C425" s="121" t="s">
        <v>56</v>
      </c>
      <c r="D425" s="332" t="s">
        <v>57</v>
      </c>
      <c r="E425" s="332">
        <v>82.31</v>
      </c>
      <c r="F425" s="325">
        <v>68.64</v>
      </c>
      <c r="G425" s="436">
        <f>ROUND(E425*F425,2)</f>
        <v>5649.76</v>
      </c>
    </row>
    <row r="426" spans="2:7" hidden="1" outlineLevel="2">
      <c r="B426" s="330" t="s">
        <v>662</v>
      </c>
      <c r="C426" s="121" t="s">
        <v>199</v>
      </c>
      <c r="D426" s="332" t="s">
        <v>57</v>
      </c>
      <c r="E426" s="332">
        <v>82.31</v>
      </c>
      <c r="F426" s="325">
        <v>64.31</v>
      </c>
      <c r="G426" s="436">
        <f>ROUND(E426*F426,2)</f>
        <v>5293.36</v>
      </c>
    </row>
    <row r="427" spans="2:7" hidden="1" outlineLevel="2">
      <c r="B427" s="331" t="s">
        <v>663</v>
      </c>
      <c r="C427" s="324" t="s">
        <v>66</v>
      </c>
      <c r="D427" s="332"/>
      <c r="E427" s="332"/>
      <c r="F427" s="325"/>
      <c r="G427" s="435">
        <f>+SUBTOTAL(9,G428:G431)</f>
        <v>14338.59</v>
      </c>
    </row>
    <row r="428" spans="2:7" hidden="1" outlineLevel="2">
      <c r="B428" s="330" t="s">
        <v>664</v>
      </c>
      <c r="C428" s="121" t="s">
        <v>71</v>
      </c>
      <c r="D428" s="332" t="s">
        <v>69</v>
      </c>
      <c r="E428" s="332">
        <v>42.1</v>
      </c>
      <c r="F428" s="325">
        <v>294</v>
      </c>
      <c r="G428" s="436">
        <f>ROUND(E428*F428,2)</f>
        <v>12377.4</v>
      </c>
    </row>
    <row r="429" spans="2:7" hidden="1" outlineLevel="2">
      <c r="B429" s="330" t="s">
        <v>665</v>
      </c>
      <c r="C429" s="121" t="s">
        <v>73</v>
      </c>
      <c r="D429" s="332" t="s">
        <v>57</v>
      </c>
      <c r="E429" s="332">
        <v>74.650000000000006</v>
      </c>
      <c r="F429" s="325">
        <v>14.12</v>
      </c>
      <c r="G429" s="436">
        <f>ROUND(E429*F429,2)</f>
        <v>1054.06</v>
      </c>
    </row>
    <row r="430" spans="2:7" hidden="1" outlineLevel="2">
      <c r="B430" s="330" t="s">
        <v>666</v>
      </c>
      <c r="C430" s="121" t="s">
        <v>75</v>
      </c>
      <c r="D430" s="332" t="s">
        <v>69</v>
      </c>
      <c r="E430" s="332">
        <v>3.43</v>
      </c>
      <c r="F430" s="325">
        <v>96.56</v>
      </c>
      <c r="G430" s="436">
        <f>ROUND(E430*F430,2)</f>
        <v>331.2</v>
      </c>
    </row>
    <row r="431" spans="2:7" hidden="1" outlineLevel="2">
      <c r="B431" s="330" t="s">
        <v>667</v>
      </c>
      <c r="C431" s="121" t="s">
        <v>77</v>
      </c>
      <c r="D431" s="332" t="s">
        <v>69</v>
      </c>
      <c r="E431" s="332">
        <v>42.1</v>
      </c>
      <c r="F431" s="325">
        <v>13.68</v>
      </c>
      <c r="G431" s="436">
        <f>ROUND(E431*F431,2)</f>
        <v>575.92999999999995</v>
      </c>
    </row>
    <row r="432" spans="2:7" hidden="1" outlineLevel="2">
      <c r="B432" s="331" t="s">
        <v>668</v>
      </c>
      <c r="C432" s="324" t="s">
        <v>79</v>
      </c>
      <c r="D432" s="332"/>
      <c r="E432" s="332"/>
      <c r="F432" s="325"/>
      <c r="G432" s="435">
        <f>+SUBTOTAL(9,G433:G438)</f>
        <v>7758.3899999999994</v>
      </c>
    </row>
    <row r="433" spans="2:7" hidden="1" outlineLevel="2">
      <c r="B433" s="330" t="s">
        <v>669</v>
      </c>
      <c r="C433" s="121" t="s">
        <v>81</v>
      </c>
      <c r="D433" s="332" t="s">
        <v>69</v>
      </c>
      <c r="E433" s="332">
        <v>7.25</v>
      </c>
      <c r="F433" s="325">
        <v>398.62</v>
      </c>
      <c r="G433" s="436">
        <f t="shared" ref="G433:G438" si="8">ROUND(E433*F433,2)</f>
        <v>2890</v>
      </c>
    </row>
    <row r="434" spans="2:7" hidden="1" outlineLevel="2">
      <c r="B434" s="330" t="s">
        <v>670</v>
      </c>
      <c r="C434" s="121" t="s">
        <v>208</v>
      </c>
      <c r="D434" s="332" t="s">
        <v>69</v>
      </c>
      <c r="E434" s="332">
        <v>4.63</v>
      </c>
      <c r="F434" s="325">
        <v>372.28</v>
      </c>
      <c r="G434" s="436">
        <f t="shared" si="8"/>
        <v>1723.66</v>
      </c>
    </row>
    <row r="435" spans="2:7" hidden="1" outlineLevel="2">
      <c r="B435" s="330" t="s">
        <v>671</v>
      </c>
      <c r="C435" s="121" t="s">
        <v>210</v>
      </c>
      <c r="D435" s="332" t="s">
        <v>69</v>
      </c>
      <c r="E435" s="332">
        <v>0.92</v>
      </c>
      <c r="F435" s="325">
        <v>482.43</v>
      </c>
      <c r="G435" s="436">
        <f t="shared" si="8"/>
        <v>443.84</v>
      </c>
    </row>
    <row r="436" spans="2:7" hidden="1" outlineLevel="2">
      <c r="B436" s="330" t="s">
        <v>672</v>
      </c>
      <c r="C436" s="121" t="s">
        <v>212</v>
      </c>
      <c r="D436" s="332" t="s">
        <v>57</v>
      </c>
      <c r="E436" s="332">
        <v>7.86</v>
      </c>
      <c r="F436" s="325">
        <v>45</v>
      </c>
      <c r="G436" s="436">
        <f t="shared" si="8"/>
        <v>353.7</v>
      </c>
    </row>
    <row r="437" spans="2:7" hidden="1" outlineLevel="2">
      <c r="B437" s="330" t="s">
        <v>673</v>
      </c>
      <c r="C437" s="121" t="s">
        <v>214</v>
      </c>
      <c r="D437" s="332" t="s">
        <v>69</v>
      </c>
      <c r="E437" s="332">
        <v>3.55</v>
      </c>
      <c r="F437" s="325">
        <v>571.69000000000005</v>
      </c>
      <c r="G437" s="436">
        <f t="shared" si="8"/>
        <v>2029.5</v>
      </c>
    </row>
    <row r="438" spans="2:7" hidden="1" outlineLevel="2">
      <c r="B438" s="330" t="s">
        <v>674</v>
      </c>
      <c r="C438" s="121" t="s">
        <v>216</v>
      </c>
      <c r="D438" s="332" t="s">
        <v>57</v>
      </c>
      <c r="E438" s="332">
        <v>7.16</v>
      </c>
      <c r="F438" s="325">
        <v>44.37</v>
      </c>
      <c r="G438" s="436">
        <f t="shared" si="8"/>
        <v>317.69</v>
      </c>
    </row>
    <row r="439" spans="2:7" hidden="1" outlineLevel="2">
      <c r="B439" s="331" t="s">
        <v>675</v>
      </c>
      <c r="C439" s="324" t="s">
        <v>85</v>
      </c>
      <c r="D439" s="332"/>
      <c r="E439" s="332"/>
      <c r="F439" s="325"/>
      <c r="G439" s="435">
        <f>+SUBTOTAL(9,G440:G461)</f>
        <v>58748.130000000005</v>
      </c>
    </row>
    <row r="440" spans="2:7" hidden="1" outlineLevel="2">
      <c r="B440" s="331" t="s">
        <v>676</v>
      </c>
      <c r="C440" s="324" t="s">
        <v>87</v>
      </c>
      <c r="D440" s="332"/>
      <c r="E440" s="332"/>
      <c r="F440" s="325"/>
      <c r="G440" s="435">
        <f>+SUBTOTAL(9,G441:G442)</f>
        <v>2306.31</v>
      </c>
    </row>
    <row r="441" spans="2:7" hidden="1" outlineLevel="2">
      <c r="B441" s="330" t="s">
        <v>677</v>
      </c>
      <c r="C441" s="121" t="s">
        <v>220</v>
      </c>
      <c r="D441" s="332" t="s">
        <v>69</v>
      </c>
      <c r="E441" s="332">
        <v>3.67</v>
      </c>
      <c r="F441" s="325">
        <v>417.1</v>
      </c>
      <c r="G441" s="436">
        <f>ROUND(E441*F441,2)</f>
        <v>1530.76</v>
      </c>
    </row>
    <row r="442" spans="2:7" hidden="1" outlineLevel="2">
      <c r="B442" s="330" t="s">
        <v>678</v>
      </c>
      <c r="C442" s="121" t="s">
        <v>93</v>
      </c>
      <c r="D442" s="332" t="s">
        <v>94</v>
      </c>
      <c r="E442" s="332">
        <v>105.23</v>
      </c>
      <c r="F442" s="325">
        <v>7.37</v>
      </c>
      <c r="G442" s="436">
        <f>ROUND(E442*F442,2)</f>
        <v>775.55</v>
      </c>
    </row>
    <row r="443" spans="2:7" hidden="1" outlineLevel="2">
      <c r="B443" s="331" t="s">
        <v>679</v>
      </c>
      <c r="C443" s="324" t="s">
        <v>96</v>
      </c>
      <c r="D443" s="332"/>
      <c r="E443" s="332"/>
      <c r="F443" s="325"/>
      <c r="G443" s="435">
        <f>+SUBTOTAL(9,G444:G445)</f>
        <v>7035.35</v>
      </c>
    </row>
    <row r="444" spans="2:7" hidden="1" outlineLevel="2">
      <c r="B444" s="330" t="s">
        <v>680</v>
      </c>
      <c r="C444" s="121" t="s">
        <v>224</v>
      </c>
      <c r="D444" s="332" t="s">
        <v>69</v>
      </c>
      <c r="E444" s="332">
        <v>9.7799999999999994</v>
      </c>
      <c r="F444" s="325">
        <v>417.1</v>
      </c>
      <c r="G444" s="436">
        <f>ROUND(E444*F444,2)</f>
        <v>4079.24</v>
      </c>
    </row>
    <row r="445" spans="2:7" hidden="1" outlineLevel="2">
      <c r="B445" s="330" t="s">
        <v>681</v>
      </c>
      <c r="C445" s="121" t="s">
        <v>100</v>
      </c>
      <c r="D445" s="332" t="s">
        <v>94</v>
      </c>
      <c r="E445" s="332">
        <v>401.1</v>
      </c>
      <c r="F445" s="325">
        <v>7.37</v>
      </c>
      <c r="G445" s="436">
        <f>ROUND(E445*F445,2)</f>
        <v>2956.11</v>
      </c>
    </row>
    <row r="446" spans="2:7" hidden="1" outlineLevel="2">
      <c r="B446" s="331" t="s">
        <v>682</v>
      </c>
      <c r="C446" s="324" t="s">
        <v>227</v>
      </c>
      <c r="D446" s="332"/>
      <c r="E446" s="332"/>
      <c r="F446" s="325"/>
      <c r="G446" s="435">
        <f>+SUBTOTAL(9,G447:G449)</f>
        <v>8242.64</v>
      </c>
    </row>
    <row r="447" spans="2:7" hidden="1" outlineLevel="2">
      <c r="B447" s="330" t="s">
        <v>683</v>
      </c>
      <c r="C447" s="121" t="s">
        <v>229</v>
      </c>
      <c r="D447" s="332" t="s">
        <v>69</v>
      </c>
      <c r="E447" s="332">
        <v>3.61</v>
      </c>
      <c r="F447" s="325">
        <v>427.59</v>
      </c>
      <c r="G447" s="436">
        <f>ROUND(E447*F447,2)</f>
        <v>1543.6</v>
      </c>
    </row>
    <row r="448" spans="2:7" hidden="1" outlineLevel="2">
      <c r="B448" s="330" t="s">
        <v>684</v>
      </c>
      <c r="C448" s="121" t="s">
        <v>231</v>
      </c>
      <c r="D448" s="332" t="s">
        <v>57</v>
      </c>
      <c r="E448" s="332">
        <v>35.119999999999997</v>
      </c>
      <c r="F448" s="325">
        <v>65.900000000000006</v>
      </c>
      <c r="G448" s="436">
        <f>ROUND(E448*F448,2)</f>
        <v>2314.41</v>
      </c>
    </row>
    <row r="449" spans="2:7" hidden="1" outlineLevel="2">
      <c r="B449" s="330" t="s">
        <v>685</v>
      </c>
      <c r="C449" s="121" t="s">
        <v>233</v>
      </c>
      <c r="D449" s="332" t="s">
        <v>94</v>
      </c>
      <c r="E449" s="332">
        <v>586.17999999999995</v>
      </c>
      <c r="F449" s="325">
        <v>7.48</v>
      </c>
      <c r="G449" s="436">
        <f>ROUND(E449*F449,2)</f>
        <v>4384.63</v>
      </c>
    </row>
    <row r="450" spans="2:7" hidden="1" outlineLevel="2">
      <c r="B450" s="331" t="s">
        <v>686</v>
      </c>
      <c r="C450" s="324" t="s">
        <v>235</v>
      </c>
      <c r="D450" s="332"/>
      <c r="E450" s="332"/>
      <c r="F450" s="325"/>
      <c r="G450" s="435">
        <f>+SUBTOTAL(9,G451:G453)</f>
        <v>15515.32</v>
      </c>
    </row>
    <row r="451" spans="2:7" hidden="1" outlineLevel="2">
      <c r="B451" s="330" t="s">
        <v>687</v>
      </c>
      <c r="C451" s="121" t="s">
        <v>237</v>
      </c>
      <c r="D451" s="332" t="s">
        <v>69</v>
      </c>
      <c r="E451" s="332">
        <v>10.19</v>
      </c>
      <c r="F451" s="325">
        <v>427.59</v>
      </c>
      <c r="G451" s="436">
        <f>ROUND(E451*F451,2)</f>
        <v>4357.1400000000003</v>
      </c>
    </row>
    <row r="452" spans="2:7" hidden="1" outlineLevel="2">
      <c r="B452" s="330" t="s">
        <v>688</v>
      </c>
      <c r="C452" s="121" t="s">
        <v>106</v>
      </c>
      <c r="D452" s="332" t="s">
        <v>57</v>
      </c>
      <c r="E452" s="332">
        <v>120.25</v>
      </c>
      <c r="F452" s="325">
        <v>64.8</v>
      </c>
      <c r="G452" s="436">
        <f>ROUND(E452*F452,2)</f>
        <v>7792.2</v>
      </c>
    </row>
    <row r="453" spans="2:7" hidden="1" outlineLevel="2">
      <c r="B453" s="330" t="s">
        <v>689</v>
      </c>
      <c r="C453" s="121" t="s">
        <v>108</v>
      </c>
      <c r="D453" s="332" t="s">
        <v>94</v>
      </c>
      <c r="E453" s="332">
        <v>448.2</v>
      </c>
      <c r="F453" s="325">
        <v>7.51</v>
      </c>
      <c r="G453" s="436">
        <f>ROUND(E453*F453,2)</f>
        <v>3365.98</v>
      </c>
    </row>
    <row r="454" spans="2:7" hidden="1" outlineLevel="2">
      <c r="B454" s="331" t="s">
        <v>690</v>
      </c>
      <c r="C454" s="324" t="s">
        <v>241</v>
      </c>
      <c r="D454" s="332"/>
      <c r="E454" s="332"/>
      <c r="F454" s="325"/>
      <c r="G454" s="435">
        <f>+SUBTOTAL(9,G455:G457)</f>
        <v>10272.56</v>
      </c>
    </row>
    <row r="455" spans="2:7" hidden="1" outlineLevel="2">
      <c r="B455" s="330" t="s">
        <v>691</v>
      </c>
      <c r="C455" s="121" t="s">
        <v>333</v>
      </c>
      <c r="D455" s="332" t="s">
        <v>69</v>
      </c>
      <c r="E455" s="332">
        <v>5.49</v>
      </c>
      <c r="F455" s="325">
        <v>427.59</v>
      </c>
      <c r="G455" s="436">
        <f>ROUND(E455*F455,2)</f>
        <v>2347.4699999999998</v>
      </c>
    </row>
    <row r="456" spans="2:7" hidden="1" outlineLevel="2">
      <c r="B456" s="330" t="s">
        <v>692</v>
      </c>
      <c r="C456" s="121" t="s">
        <v>122</v>
      </c>
      <c r="D456" s="332" t="s">
        <v>57</v>
      </c>
      <c r="E456" s="332">
        <v>36.69</v>
      </c>
      <c r="F456" s="325">
        <v>75.39</v>
      </c>
      <c r="G456" s="436">
        <f>ROUND(E456*F456,2)</f>
        <v>2766.06</v>
      </c>
    </row>
    <row r="457" spans="2:7" hidden="1" outlineLevel="2">
      <c r="B457" s="330" t="s">
        <v>693</v>
      </c>
      <c r="C457" s="121" t="s">
        <v>336</v>
      </c>
      <c r="D457" s="332" t="s">
        <v>94</v>
      </c>
      <c r="E457" s="332">
        <v>689.71</v>
      </c>
      <c r="F457" s="325">
        <v>7.48</v>
      </c>
      <c r="G457" s="436">
        <f>ROUND(E457*F457,2)</f>
        <v>5159.03</v>
      </c>
    </row>
    <row r="458" spans="2:7" hidden="1" outlineLevel="2">
      <c r="B458" s="331" t="s">
        <v>694</v>
      </c>
      <c r="C458" s="324" t="s">
        <v>695</v>
      </c>
      <c r="D458" s="332"/>
      <c r="E458" s="332"/>
      <c r="F458" s="325"/>
      <c r="G458" s="435">
        <f>+SUBTOTAL(9,G459:G461)</f>
        <v>15375.95</v>
      </c>
    </row>
    <row r="459" spans="2:7" hidden="1" outlineLevel="2">
      <c r="B459" s="330" t="s">
        <v>696</v>
      </c>
      <c r="C459" s="121" t="s">
        <v>339</v>
      </c>
      <c r="D459" s="332" t="s">
        <v>69</v>
      </c>
      <c r="E459" s="332">
        <v>10.83</v>
      </c>
      <c r="F459" s="325">
        <v>417.1</v>
      </c>
      <c r="G459" s="436">
        <f>ROUND(E459*F459,2)</f>
        <v>4517.1899999999996</v>
      </c>
    </row>
    <row r="460" spans="2:7" hidden="1" outlineLevel="2">
      <c r="B460" s="330" t="s">
        <v>697</v>
      </c>
      <c r="C460" s="121" t="s">
        <v>252</v>
      </c>
      <c r="D460" s="332" t="s">
        <v>57</v>
      </c>
      <c r="E460" s="332">
        <v>76.66</v>
      </c>
      <c r="F460" s="325">
        <v>60.67</v>
      </c>
      <c r="G460" s="436">
        <f>ROUND(E460*F460,2)</f>
        <v>4650.96</v>
      </c>
    </row>
    <row r="461" spans="2:7" hidden="1" outlineLevel="2">
      <c r="B461" s="330" t="s">
        <v>698</v>
      </c>
      <c r="C461" s="121" t="s">
        <v>254</v>
      </c>
      <c r="D461" s="332" t="s">
        <v>94</v>
      </c>
      <c r="E461" s="332">
        <v>829.92</v>
      </c>
      <c r="F461" s="325">
        <v>7.48</v>
      </c>
      <c r="G461" s="436">
        <f>ROUND(E461*F461,2)</f>
        <v>6207.8</v>
      </c>
    </row>
    <row r="462" spans="2:7" hidden="1" outlineLevel="2">
      <c r="B462" s="331" t="s">
        <v>699</v>
      </c>
      <c r="C462" s="324" t="s">
        <v>134</v>
      </c>
      <c r="D462" s="332"/>
      <c r="E462" s="332"/>
      <c r="F462" s="325"/>
      <c r="G462" s="435">
        <f>+SUBTOTAL(9,G463:G474)</f>
        <v>16280.64</v>
      </c>
    </row>
    <row r="463" spans="2:7" ht="30" hidden="1" outlineLevel="2">
      <c r="B463" s="330" t="s">
        <v>700</v>
      </c>
      <c r="C463" s="121" t="s">
        <v>257</v>
      </c>
      <c r="D463" s="332" t="s">
        <v>57</v>
      </c>
      <c r="E463" s="332">
        <v>108.01</v>
      </c>
      <c r="F463" s="325">
        <v>27.37</v>
      </c>
      <c r="G463" s="436">
        <f t="shared" ref="G463:G474" si="9">ROUND(E463*F463,2)</f>
        <v>2956.23</v>
      </c>
    </row>
    <row r="464" spans="2:7" ht="30" hidden="1" outlineLevel="2">
      <c r="B464" s="330" t="s">
        <v>701</v>
      </c>
      <c r="C464" s="121" t="s">
        <v>259</v>
      </c>
      <c r="D464" s="332" t="s">
        <v>57</v>
      </c>
      <c r="E464" s="332">
        <v>108.01</v>
      </c>
      <c r="F464" s="325">
        <v>27.37</v>
      </c>
      <c r="G464" s="436">
        <f t="shared" si="9"/>
        <v>2956.23</v>
      </c>
    </row>
    <row r="465" spans="2:7" ht="30" hidden="1" outlineLevel="2">
      <c r="B465" s="330" t="s">
        <v>702</v>
      </c>
      <c r="C465" s="121" t="s">
        <v>261</v>
      </c>
      <c r="D465" s="332" t="s">
        <v>57</v>
      </c>
      <c r="E465" s="332">
        <v>68.099999999999994</v>
      </c>
      <c r="F465" s="325">
        <v>27.37</v>
      </c>
      <c r="G465" s="436">
        <f t="shared" si="9"/>
        <v>1863.9</v>
      </c>
    </row>
    <row r="466" spans="2:7" ht="30" hidden="1" outlineLevel="2">
      <c r="B466" s="330" t="s">
        <v>703</v>
      </c>
      <c r="C466" s="121" t="s">
        <v>263</v>
      </c>
      <c r="D466" s="332" t="s">
        <v>57</v>
      </c>
      <c r="E466" s="332">
        <v>68.099999999999994</v>
      </c>
      <c r="F466" s="325">
        <v>27.37</v>
      </c>
      <c r="G466" s="436">
        <f t="shared" si="9"/>
        <v>1863.9</v>
      </c>
    </row>
    <row r="467" spans="2:7" ht="30" hidden="1" outlineLevel="2">
      <c r="B467" s="330" t="s">
        <v>704</v>
      </c>
      <c r="C467" s="121" t="s">
        <v>265</v>
      </c>
      <c r="D467" s="332" t="s">
        <v>57</v>
      </c>
      <c r="E467" s="332">
        <v>76.66</v>
      </c>
      <c r="F467" s="325">
        <v>27.37</v>
      </c>
      <c r="G467" s="436">
        <f t="shared" si="9"/>
        <v>2098.1799999999998</v>
      </c>
    </row>
    <row r="468" spans="2:7" ht="30" hidden="1" outlineLevel="2">
      <c r="B468" s="330" t="s">
        <v>705</v>
      </c>
      <c r="C468" s="121" t="s">
        <v>267</v>
      </c>
      <c r="D468" s="332" t="s">
        <v>57</v>
      </c>
      <c r="E468" s="332">
        <v>72.239999999999995</v>
      </c>
      <c r="F468" s="325">
        <v>27.37</v>
      </c>
      <c r="G468" s="436">
        <f t="shared" si="9"/>
        <v>1977.21</v>
      </c>
    </row>
    <row r="469" spans="2:7" ht="30" hidden="1" outlineLevel="2">
      <c r="B469" s="330" t="s">
        <v>706</v>
      </c>
      <c r="C469" s="121" t="s">
        <v>269</v>
      </c>
      <c r="D469" s="332" t="s">
        <v>57</v>
      </c>
      <c r="E469" s="332">
        <v>4.42</v>
      </c>
      <c r="F469" s="325">
        <v>27.37</v>
      </c>
      <c r="G469" s="436">
        <f t="shared" si="9"/>
        <v>120.98</v>
      </c>
    </row>
    <row r="470" spans="2:7" ht="30" hidden="1" outlineLevel="2">
      <c r="B470" s="330" t="s">
        <v>707</v>
      </c>
      <c r="C470" s="121" t="s">
        <v>271</v>
      </c>
      <c r="D470" s="332" t="s">
        <v>57</v>
      </c>
      <c r="E470" s="332">
        <v>4.42</v>
      </c>
      <c r="F470" s="325">
        <v>27.37</v>
      </c>
      <c r="G470" s="436">
        <f t="shared" si="9"/>
        <v>120.98</v>
      </c>
    </row>
    <row r="471" spans="2:7" ht="30" hidden="1" outlineLevel="2">
      <c r="B471" s="330" t="s">
        <v>708</v>
      </c>
      <c r="C471" s="121" t="s">
        <v>273</v>
      </c>
      <c r="D471" s="332" t="s">
        <v>57</v>
      </c>
      <c r="E471" s="332">
        <v>1.89</v>
      </c>
      <c r="F471" s="325">
        <v>27.37</v>
      </c>
      <c r="G471" s="436">
        <f t="shared" si="9"/>
        <v>51.73</v>
      </c>
    </row>
    <row r="472" spans="2:7" ht="30" hidden="1" outlineLevel="2">
      <c r="B472" s="330" t="s">
        <v>709</v>
      </c>
      <c r="C472" s="121" t="s">
        <v>275</v>
      </c>
      <c r="D472" s="332" t="s">
        <v>57</v>
      </c>
      <c r="E472" s="332">
        <v>1.89</v>
      </c>
      <c r="F472" s="325">
        <v>27.37</v>
      </c>
      <c r="G472" s="436">
        <f t="shared" si="9"/>
        <v>51.73</v>
      </c>
    </row>
    <row r="473" spans="2:7" hidden="1" outlineLevel="2">
      <c r="B473" s="330" t="s">
        <v>710</v>
      </c>
      <c r="C473" s="121" t="s">
        <v>277</v>
      </c>
      <c r="D473" s="332" t="s">
        <v>64</v>
      </c>
      <c r="E473" s="332">
        <v>25.2</v>
      </c>
      <c r="F473" s="325">
        <v>17.440000000000001</v>
      </c>
      <c r="G473" s="436">
        <f t="shared" si="9"/>
        <v>439.49</v>
      </c>
    </row>
    <row r="474" spans="2:7" hidden="1" outlineLevel="2">
      <c r="B474" s="330" t="s">
        <v>711</v>
      </c>
      <c r="C474" s="121" t="s">
        <v>279</v>
      </c>
      <c r="D474" s="332" t="s">
        <v>57</v>
      </c>
      <c r="E474" s="332">
        <v>416.88</v>
      </c>
      <c r="F474" s="325">
        <v>4.2699999999999996</v>
      </c>
      <c r="G474" s="436">
        <f t="shared" si="9"/>
        <v>1780.08</v>
      </c>
    </row>
    <row r="475" spans="2:7" hidden="1" outlineLevel="2">
      <c r="B475" s="331" t="s">
        <v>712</v>
      </c>
      <c r="C475" s="324" t="s">
        <v>158</v>
      </c>
      <c r="D475" s="332"/>
      <c r="E475" s="332"/>
      <c r="F475" s="325"/>
      <c r="G475" s="435">
        <f>+SUBTOTAL(9,G476:G477)</f>
        <v>3317.5699999999997</v>
      </c>
    </row>
    <row r="476" spans="2:7" hidden="1" outlineLevel="2">
      <c r="B476" s="330" t="s">
        <v>713</v>
      </c>
      <c r="C476" s="121" t="s">
        <v>282</v>
      </c>
      <c r="D476" s="332" t="s">
        <v>57</v>
      </c>
      <c r="E476" s="332">
        <v>65.22</v>
      </c>
      <c r="F476" s="325">
        <v>25.81</v>
      </c>
      <c r="G476" s="436">
        <f>ROUND(E476*F476,2)</f>
        <v>1683.33</v>
      </c>
    </row>
    <row r="477" spans="2:7" hidden="1" outlineLevel="2">
      <c r="B477" s="330" t="s">
        <v>714</v>
      </c>
      <c r="C477" s="121" t="s">
        <v>160</v>
      </c>
      <c r="D477" s="332" t="s">
        <v>57</v>
      </c>
      <c r="E477" s="332">
        <v>24.45</v>
      </c>
      <c r="F477" s="325">
        <v>66.84</v>
      </c>
      <c r="G477" s="436">
        <f>ROUND(E477*F477,2)</f>
        <v>1634.24</v>
      </c>
    </row>
    <row r="478" spans="2:7" hidden="1" outlineLevel="2">
      <c r="B478" s="331" t="s">
        <v>715</v>
      </c>
      <c r="C478" s="324" t="s">
        <v>162</v>
      </c>
      <c r="D478" s="332"/>
      <c r="E478" s="332"/>
      <c r="F478" s="325"/>
      <c r="G478" s="435">
        <f>+SUBTOTAL(9,G479:G482)</f>
        <v>10110.01</v>
      </c>
    </row>
    <row r="479" spans="2:7" hidden="1" outlineLevel="2">
      <c r="B479" s="330" t="s">
        <v>716</v>
      </c>
      <c r="C479" s="121" t="s">
        <v>286</v>
      </c>
      <c r="D479" s="332" t="s">
        <v>287</v>
      </c>
      <c r="E479" s="332">
        <v>1</v>
      </c>
      <c r="F479" s="325">
        <v>3753</v>
      </c>
      <c r="G479" s="436">
        <f>ROUND(E479*F479,2)</f>
        <v>3753</v>
      </c>
    </row>
    <row r="480" spans="2:7" hidden="1" outlineLevel="2">
      <c r="B480" s="330" t="s">
        <v>717</v>
      </c>
      <c r="C480" s="121" t="s">
        <v>289</v>
      </c>
      <c r="D480" s="332" t="s">
        <v>287</v>
      </c>
      <c r="E480" s="332">
        <v>4</v>
      </c>
      <c r="F480" s="325">
        <v>815.11</v>
      </c>
      <c r="G480" s="436">
        <f>ROUND(E480*F480,2)</f>
        <v>3260.44</v>
      </c>
    </row>
    <row r="481" spans="2:7" hidden="1" outlineLevel="2">
      <c r="B481" s="330" t="s">
        <v>718</v>
      </c>
      <c r="C481" s="121" t="s">
        <v>291</v>
      </c>
      <c r="D481" s="332" t="s">
        <v>64</v>
      </c>
      <c r="E481" s="332">
        <v>2.7</v>
      </c>
      <c r="F481" s="325">
        <v>744.18</v>
      </c>
      <c r="G481" s="436">
        <f>ROUND(E481*F481,2)</f>
        <v>2009.29</v>
      </c>
    </row>
    <row r="482" spans="2:7" ht="30" hidden="1" outlineLevel="2">
      <c r="B482" s="330" t="s">
        <v>718</v>
      </c>
      <c r="C482" s="121" t="s">
        <v>168</v>
      </c>
      <c r="D482" s="332" t="s">
        <v>43</v>
      </c>
      <c r="E482" s="332">
        <v>1</v>
      </c>
      <c r="F482" s="325">
        <v>1087.28</v>
      </c>
      <c r="G482" s="436">
        <f>ROUND(E482*F482,2)</f>
        <v>1087.28</v>
      </c>
    </row>
    <row r="483" spans="2:7" hidden="1" outlineLevel="2">
      <c r="B483" s="331" t="s">
        <v>719</v>
      </c>
      <c r="C483" s="324" t="s">
        <v>174</v>
      </c>
      <c r="D483" s="332"/>
      <c r="E483" s="332"/>
      <c r="F483" s="325"/>
      <c r="G483" s="435">
        <f>+SUBTOTAL(9,G484:G486)</f>
        <v>2718.81</v>
      </c>
    </row>
    <row r="484" spans="2:7" hidden="1" outlineLevel="2">
      <c r="B484" s="330" t="s">
        <v>720</v>
      </c>
      <c r="C484" s="121" t="s">
        <v>294</v>
      </c>
      <c r="D484" s="332" t="s">
        <v>57</v>
      </c>
      <c r="E484" s="332">
        <v>108.01</v>
      </c>
      <c r="F484" s="325">
        <v>9.8000000000000007</v>
      </c>
      <c r="G484" s="436">
        <f>ROUND(E484*F484,2)</f>
        <v>1058.5</v>
      </c>
    </row>
    <row r="485" spans="2:7" hidden="1" outlineLevel="2">
      <c r="B485" s="330" t="s">
        <v>721</v>
      </c>
      <c r="C485" s="121" t="s">
        <v>296</v>
      </c>
      <c r="D485" s="332" t="s">
        <v>57</v>
      </c>
      <c r="E485" s="332">
        <v>68.099999999999994</v>
      </c>
      <c r="F485" s="325">
        <v>10.32</v>
      </c>
      <c r="G485" s="436">
        <f>ROUND(E485*F485,2)</f>
        <v>702.79</v>
      </c>
    </row>
    <row r="486" spans="2:7" hidden="1" outlineLevel="2">
      <c r="B486" s="330" t="s">
        <v>722</v>
      </c>
      <c r="C486" s="121" t="s">
        <v>298</v>
      </c>
      <c r="D486" s="332" t="s">
        <v>57</v>
      </c>
      <c r="E486" s="332">
        <v>78.55</v>
      </c>
      <c r="F486" s="325">
        <v>12.19</v>
      </c>
      <c r="G486" s="436">
        <f>ROUND(E486*F486,2)</f>
        <v>957.52</v>
      </c>
    </row>
    <row r="487" spans="2:7" hidden="1" outlineLevel="2">
      <c r="B487" s="331" t="s">
        <v>723</v>
      </c>
      <c r="C487" s="324" t="s">
        <v>178</v>
      </c>
      <c r="D487" s="332"/>
      <c r="E487" s="332"/>
      <c r="F487" s="325"/>
      <c r="G487" s="435">
        <f>+SUBTOTAL(9,G488)</f>
        <v>429.75</v>
      </c>
    </row>
    <row r="488" spans="2:7" hidden="1" outlineLevel="2">
      <c r="B488" s="330" t="s">
        <v>724</v>
      </c>
      <c r="C488" s="121" t="s">
        <v>183</v>
      </c>
      <c r="D488" s="332" t="s">
        <v>43</v>
      </c>
      <c r="E488" s="332">
        <v>15</v>
      </c>
      <c r="F488" s="325">
        <v>28.65</v>
      </c>
      <c r="G488" s="436">
        <f>ROUND(E488*F488,2)</f>
        <v>429.75</v>
      </c>
    </row>
    <row r="489" spans="2:7" hidden="1" outlineLevel="2">
      <c r="B489" s="331" t="s">
        <v>725</v>
      </c>
      <c r="C489" s="324" t="s">
        <v>185</v>
      </c>
      <c r="D489" s="332"/>
      <c r="E489" s="332"/>
      <c r="F489" s="325"/>
      <c r="G489" s="435">
        <f>+SUBTOTAL(9,G490:G491)</f>
        <v>2940.36</v>
      </c>
    </row>
    <row r="490" spans="2:7" ht="30" hidden="1" outlineLevel="2">
      <c r="B490" s="330" t="s">
        <v>726</v>
      </c>
      <c r="C490" s="121" t="s">
        <v>189</v>
      </c>
      <c r="D490" s="332" t="s">
        <v>64</v>
      </c>
      <c r="E490" s="332">
        <v>5</v>
      </c>
      <c r="F490" s="325">
        <v>5.27</v>
      </c>
      <c r="G490" s="436">
        <f>ROUND(E490*F490,2)</f>
        <v>26.35</v>
      </c>
    </row>
    <row r="491" spans="2:7" hidden="1" outlineLevel="2">
      <c r="B491" s="330" t="s">
        <v>727</v>
      </c>
      <c r="C491" s="121" t="s">
        <v>193</v>
      </c>
      <c r="D491" s="332" t="s">
        <v>57</v>
      </c>
      <c r="E491" s="332">
        <v>283.74</v>
      </c>
      <c r="F491" s="325">
        <v>10.27</v>
      </c>
      <c r="G491" s="436">
        <f>ROUND(E491*F491,2)</f>
        <v>2914.01</v>
      </c>
    </row>
    <row r="492" spans="2:7" hidden="1" outlineLevel="1" collapsed="1">
      <c r="B492" s="331" t="s">
        <v>728</v>
      </c>
      <c r="C492" s="324" t="s">
        <v>451</v>
      </c>
      <c r="D492" s="332"/>
      <c r="E492" s="332"/>
      <c r="F492" s="325"/>
      <c r="G492" s="435">
        <f>+SUBTOTAL(9,G493:G523)</f>
        <v>13859.64</v>
      </c>
    </row>
    <row r="493" spans="2:7" hidden="1" outlineLevel="2">
      <c r="B493" s="331" t="s">
        <v>729</v>
      </c>
      <c r="C493" s="324" t="s">
        <v>54</v>
      </c>
      <c r="D493" s="332"/>
      <c r="E493" s="332"/>
      <c r="F493" s="325"/>
      <c r="G493" s="435">
        <f>+SUBTOTAL(9,G494:G495)</f>
        <v>627.52</v>
      </c>
    </row>
    <row r="494" spans="2:7" hidden="1" outlineLevel="2">
      <c r="B494" s="330" t="s">
        <v>730</v>
      </c>
      <c r="C494" s="121" t="s">
        <v>56</v>
      </c>
      <c r="D494" s="332" t="s">
        <v>57</v>
      </c>
      <c r="E494" s="332">
        <v>4.72</v>
      </c>
      <c r="F494" s="325">
        <v>68.64</v>
      </c>
      <c r="G494" s="436">
        <f>ROUND(E494*F494,2)</f>
        <v>323.98</v>
      </c>
    </row>
    <row r="495" spans="2:7" hidden="1" outlineLevel="2">
      <c r="B495" s="330" t="s">
        <v>731</v>
      </c>
      <c r="C495" s="121" t="s">
        <v>199</v>
      </c>
      <c r="D495" s="332" t="s">
        <v>57</v>
      </c>
      <c r="E495" s="332">
        <v>4.72</v>
      </c>
      <c r="F495" s="325">
        <v>64.31</v>
      </c>
      <c r="G495" s="436">
        <f>ROUND(E495*F495,2)</f>
        <v>303.54000000000002</v>
      </c>
    </row>
    <row r="496" spans="2:7" hidden="1" outlineLevel="2">
      <c r="B496" s="331" t="s">
        <v>732</v>
      </c>
      <c r="C496" s="324" t="s">
        <v>66</v>
      </c>
      <c r="D496" s="332"/>
      <c r="E496" s="332"/>
      <c r="F496" s="325"/>
      <c r="G496" s="435">
        <f>+SUBTOTAL(9,G497:G499)</f>
        <v>3723.1</v>
      </c>
    </row>
    <row r="497" spans="2:7" hidden="1" outlineLevel="2">
      <c r="B497" s="330" t="s">
        <v>733</v>
      </c>
      <c r="C497" s="121" t="s">
        <v>457</v>
      </c>
      <c r="D497" s="332" t="s">
        <v>69</v>
      </c>
      <c r="E497" s="332">
        <v>10.86</v>
      </c>
      <c r="F497" s="325">
        <v>323.01</v>
      </c>
      <c r="G497" s="436">
        <f>ROUND(E497*F497,2)</f>
        <v>3507.89</v>
      </c>
    </row>
    <row r="498" spans="2:7" hidden="1" outlineLevel="2">
      <c r="B498" s="330" t="s">
        <v>734</v>
      </c>
      <c r="C498" s="121" t="s">
        <v>73</v>
      </c>
      <c r="D498" s="332" t="s">
        <v>57</v>
      </c>
      <c r="E498" s="332">
        <v>4.72</v>
      </c>
      <c r="F498" s="325">
        <v>14.12</v>
      </c>
      <c r="G498" s="436">
        <f>ROUND(E498*F498,2)</f>
        <v>66.650000000000006</v>
      </c>
    </row>
    <row r="499" spans="2:7" hidden="1" outlineLevel="2">
      <c r="B499" s="330" t="s">
        <v>735</v>
      </c>
      <c r="C499" s="121" t="s">
        <v>77</v>
      </c>
      <c r="D499" s="332" t="s">
        <v>69</v>
      </c>
      <c r="E499" s="332">
        <v>10.86</v>
      </c>
      <c r="F499" s="325">
        <v>13.68</v>
      </c>
      <c r="G499" s="436">
        <f>ROUND(E499*F499,2)</f>
        <v>148.56</v>
      </c>
    </row>
    <row r="500" spans="2:7" hidden="1" outlineLevel="2">
      <c r="B500" s="331" t="s">
        <v>736</v>
      </c>
      <c r="C500" s="324" t="s">
        <v>79</v>
      </c>
      <c r="D500" s="332"/>
      <c r="E500" s="332"/>
      <c r="F500" s="325"/>
      <c r="G500" s="435">
        <f>+SUBTOTAL(9,G501)</f>
        <v>187.35</v>
      </c>
    </row>
    <row r="501" spans="2:7" hidden="1" outlineLevel="2">
      <c r="B501" s="330" t="s">
        <v>737</v>
      </c>
      <c r="C501" s="121" t="s">
        <v>81</v>
      </c>
      <c r="D501" s="332" t="s">
        <v>69</v>
      </c>
      <c r="E501" s="332">
        <v>0.47</v>
      </c>
      <c r="F501" s="325">
        <v>398.62</v>
      </c>
      <c r="G501" s="436">
        <f>ROUND(E501*F501,2)</f>
        <v>187.35</v>
      </c>
    </row>
    <row r="502" spans="2:7" hidden="1" outlineLevel="2">
      <c r="B502" s="331" t="s">
        <v>738</v>
      </c>
      <c r="C502" s="324" t="s">
        <v>85</v>
      </c>
      <c r="D502" s="332"/>
      <c r="E502" s="332"/>
      <c r="F502" s="325"/>
      <c r="G502" s="435">
        <f>+SUBTOTAL(9,G503:G513)</f>
        <v>6473.31</v>
      </c>
    </row>
    <row r="503" spans="2:7" hidden="1" outlineLevel="2">
      <c r="B503" s="331" t="s">
        <v>739</v>
      </c>
      <c r="C503" s="324" t="s">
        <v>96</v>
      </c>
      <c r="D503" s="332"/>
      <c r="E503" s="332"/>
      <c r="F503" s="325"/>
      <c r="G503" s="435">
        <f>+SUBTOTAL(9,G504:G505)</f>
        <v>927.03</v>
      </c>
    </row>
    <row r="504" spans="2:7" hidden="1" outlineLevel="2">
      <c r="B504" s="330" t="s">
        <v>740</v>
      </c>
      <c r="C504" s="121" t="s">
        <v>465</v>
      </c>
      <c r="D504" s="332" t="s">
        <v>69</v>
      </c>
      <c r="E504" s="332">
        <v>0.94</v>
      </c>
      <c r="F504" s="325">
        <v>563.13</v>
      </c>
      <c r="G504" s="436">
        <f>ROUND(E504*F504,2)</f>
        <v>529.34</v>
      </c>
    </row>
    <row r="505" spans="2:7" hidden="1" outlineLevel="2">
      <c r="B505" s="330" t="s">
        <v>741</v>
      </c>
      <c r="C505" s="121" t="s">
        <v>100</v>
      </c>
      <c r="D505" s="332" t="s">
        <v>94</v>
      </c>
      <c r="E505" s="332">
        <v>53.96</v>
      </c>
      <c r="F505" s="325">
        <v>7.37</v>
      </c>
      <c r="G505" s="436">
        <f>ROUND(E505*F505,2)</f>
        <v>397.69</v>
      </c>
    </row>
    <row r="506" spans="2:7" hidden="1" outlineLevel="2">
      <c r="B506" s="331" t="s">
        <v>742</v>
      </c>
      <c r="C506" s="324" t="s">
        <v>235</v>
      </c>
      <c r="D506" s="332"/>
      <c r="E506" s="332"/>
      <c r="F506" s="325"/>
      <c r="G506" s="435">
        <f>+SUBTOTAL(9,G507:G509)</f>
        <v>5129.2199999999993</v>
      </c>
    </row>
    <row r="507" spans="2:7" hidden="1" outlineLevel="2">
      <c r="B507" s="330" t="s">
        <v>743</v>
      </c>
      <c r="C507" s="121" t="s">
        <v>469</v>
      </c>
      <c r="D507" s="332" t="s">
        <v>69</v>
      </c>
      <c r="E507" s="332">
        <v>3.63</v>
      </c>
      <c r="F507" s="325">
        <v>618.65</v>
      </c>
      <c r="G507" s="436">
        <f>ROUND(E507*F507,2)</f>
        <v>2245.6999999999998</v>
      </c>
    </row>
    <row r="508" spans="2:7" hidden="1" outlineLevel="2">
      <c r="B508" s="330" t="s">
        <v>744</v>
      </c>
      <c r="C508" s="121" t="s">
        <v>106</v>
      </c>
      <c r="D508" s="332" t="s">
        <v>57</v>
      </c>
      <c r="E508" s="332">
        <v>18.66</v>
      </c>
      <c r="F508" s="325">
        <v>64.8</v>
      </c>
      <c r="G508" s="436">
        <f>ROUND(E508*F508,2)</f>
        <v>1209.17</v>
      </c>
    </row>
    <row r="509" spans="2:7" hidden="1" outlineLevel="2">
      <c r="B509" s="330" t="s">
        <v>745</v>
      </c>
      <c r="C509" s="121" t="s">
        <v>108</v>
      </c>
      <c r="D509" s="332" t="s">
        <v>94</v>
      </c>
      <c r="E509" s="332">
        <v>222.95</v>
      </c>
      <c r="F509" s="325">
        <v>7.51</v>
      </c>
      <c r="G509" s="436">
        <f>ROUND(E509*F509,2)</f>
        <v>1674.35</v>
      </c>
    </row>
    <row r="510" spans="2:7" hidden="1" outlineLevel="2">
      <c r="B510" s="331" t="s">
        <v>746</v>
      </c>
      <c r="C510" s="324" t="s">
        <v>473</v>
      </c>
      <c r="D510" s="332"/>
      <c r="E510" s="332"/>
      <c r="F510" s="325"/>
      <c r="G510" s="435">
        <f>+SUBTOTAL(9,G511:G513)</f>
        <v>417.06</v>
      </c>
    </row>
    <row r="511" spans="2:7" hidden="1" outlineLevel="2">
      <c r="B511" s="330" t="s">
        <v>747</v>
      </c>
      <c r="C511" s="121" t="s">
        <v>475</v>
      </c>
      <c r="D511" s="332" t="s">
        <v>69</v>
      </c>
      <c r="E511" s="332">
        <v>0.17</v>
      </c>
      <c r="F511" s="325">
        <v>541.16</v>
      </c>
      <c r="G511" s="436">
        <f>ROUND(E511*F511,2)</f>
        <v>92</v>
      </c>
    </row>
    <row r="512" spans="2:7" hidden="1" outlineLevel="2">
      <c r="B512" s="330" t="s">
        <v>748</v>
      </c>
      <c r="C512" s="121" t="s">
        <v>477</v>
      </c>
      <c r="D512" s="332" t="s">
        <v>57</v>
      </c>
      <c r="E512" s="332">
        <v>3.9</v>
      </c>
      <c r="F512" s="325">
        <v>35.4</v>
      </c>
      <c r="G512" s="436">
        <f>ROUND(E512*F512,2)</f>
        <v>138.06</v>
      </c>
    </row>
    <row r="513" spans="2:7" hidden="1" outlineLevel="2">
      <c r="B513" s="330" t="s">
        <v>749</v>
      </c>
      <c r="C513" s="121" t="s">
        <v>479</v>
      </c>
      <c r="D513" s="332" t="s">
        <v>94</v>
      </c>
      <c r="E513" s="332">
        <v>25</v>
      </c>
      <c r="F513" s="325">
        <v>7.48</v>
      </c>
      <c r="G513" s="436">
        <f>ROUND(E513*F513,2)</f>
        <v>187</v>
      </c>
    </row>
    <row r="514" spans="2:7" hidden="1" outlineLevel="2">
      <c r="B514" s="331" t="s">
        <v>750</v>
      </c>
      <c r="C514" s="324" t="s">
        <v>134</v>
      </c>
      <c r="D514" s="332"/>
      <c r="E514" s="332"/>
      <c r="F514" s="325"/>
      <c r="G514" s="435">
        <f>+SUBTOTAL(9,G515:G518)</f>
        <v>1258.9099999999999</v>
      </c>
    </row>
    <row r="515" spans="2:7" ht="30" hidden="1" outlineLevel="2">
      <c r="B515" s="330" t="s">
        <v>751</v>
      </c>
      <c r="C515" s="121" t="s">
        <v>136</v>
      </c>
      <c r="D515" s="332" t="s">
        <v>57</v>
      </c>
      <c r="E515" s="332">
        <v>3.06</v>
      </c>
      <c r="F515" s="325">
        <v>28.74</v>
      </c>
      <c r="G515" s="436">
        <f>ROUND(E515*F515,2)</f>
        <v>87.94</v>
      </c>
    </row>
    <row r="516" spans="2:7" ht="30" hidden="1" outlineLevel="2">
      <c r="B516" s="330" t="s">
        <v>752</v>
      </c>
      <c r="C516" s="121" t="s">
        <v>138</v>
      </c>
      <c r="D516" s="332" t="s">
        <v>57</v>
      </c>
      <c r="E516" s="332">
        <v>3.06</v>
      </c>
      <c r="F516" s="325">
        <v>28.74</v>
      </c>
      <c r="G516" s="436">
        <f>ROUND(E516*F516,2)</f>
        <v>87.94</v>
      </c>
    </row>
    <row r="517" spans="2:7" ht="30" hidden="1" outlineLevel="2">
      <c r="B517" s="330" t="s">
        <v>753</v>
      </c>
      <c r="C517" s="121" t="s">
        <v>140</v>
      </c>
      <c r="D517" s="332" t="s">
        <v>57</v>
      </c>
      <c r="E517" s="332">
        <v>18.66</v>
      </c>
      <c r="F517" s="325">
        <v>28.74</v>
      </c>
      <c r="G517" s="436">
        <f>ROUND(E517*F517,2)</f>
        <v>536.29</v>
      </c>
    </row>
    <row r="518" spans="2:7" ht="30" hidden="1" outlineLevel="2">
      <c r="B518" s="330" t="s">
        <v>754</v>
      </c>
      <c r="C518" s="121" t="s">
        <v>142</v>
      </c>
      <c r="D518" s="332" t="s">
        <v>57</v>
      </c>
      <c r="E518" s="332">
        <v>18.66</v>
      </c>
      <c r="F518" s="325">
        <v>29.3</v>
      </c>
      <c r="G518" s="436">
        <f>ROUND(E518*F518,2)</f>
        <v>546.74</v>
      </c>
    </row>
    <row r="519" spans="2:7" hidden="1" outlineLevel="2">
      <c r="B519" s="331" t="s">
        <v>755</v>
      </c>
      <c r="C519" s="324" t="s">
        <v>185</v>
      </c>
      <c r="D519" s="332"/>
      <c r="E519" s="332"/>
      <c r="F519" s="325"/>
      <c r="G519" s="435">
        <f>+SUBTOTAL(9,G520:G523)</f>
        <v>1589.45</v>
      </c>
    </row>
    <row r="520" spans="2:7" hidden="1" outlineLevel="2">
      <c r="B520" s="330" t="s">
        <v>756</v>
      </c>
      <c r="C520" s="121" t="s">
        <v>487</v>
      </c>
      <c r="D520" s="332" t="s">
        <v>43</v>
      </c>
      <c r="E520" s="332">
        <v>1</v>
      </c>
      <c r="F520" s="325">
        <v>1249.6600000000001</v>
      </c>
      <c r="G520" s="436">
        <f>ROUND(E520*F520,2)</f>
        <v>1249.6600000000001</v>
      </c>
    </row>
    <row r="521" spans="2:7" hidden="1" outlineLevel="2">
      <c r="B521" s="330" t="s">
        <v>757</v>
      </c>
      <c r="C521" s="121" t="s">
        <v>489</v>
      </c>
      <c r="D521" s="332" t="s">
        <v>43</v>
      </c>
      <c r="E521" s="332">
        <v>4</v>
      </c>
      <c r="F521" s="325">
        <v>12.7</v>
      </c>
      <c r="G521" s="436">
        <f>ROUND(E521*F521,2)</f>
        <v>50.8</v>
      </c>
    </row>
    <row r="522" spans="2:7" hidden="1" outlineLevel="2">
      <c r="B522" s="330" t="s">
        <v>758</v>
      </c>
      <c r="C522" s="121" t="s">
        <v>183</v>
      </c>
      <c r="D522" s="332" t="s">
        <v>43</v>
      </c>
      <c r="E522" s="332">
        <v>2</v>
      </c>
      <c r="F522" s="325">
        <v>28.65</v>
      </c>
      <c r="G522" s="436">
        <f>ROUND(E522*F522,2)</f>
        <v>57.3</v>
      </c>
    </row>
    <row r="523" spans="2:7" hidden="1" outlineLevel="2">
      <c r="B523" s="330" t="s">
        <v>759</v>
      </c>
      <c r="C523" s="121" t="s">
        <v>193</v>
      </c>
      <c r="D523" s="332" t="s">
        <v>57</v>
      </c>
      <c r="E523" s="332">
        <v>22.56</v>
      </c>
      <c r="F523" s="325">
        <v>10.27</v>
      </c>
      <c r="G523" s="436">
        <f>ROUND(E523*F523,2)</f>
        <v>231.69</v>
      </c>
    </row>
    <row r="524" spans="2:7" hidden="1" outlineLevel="1" collapsed="1">
      <c r="B524" s="331" t="s">
        <v>760</v>
      </c>
      <c r="C524" s="324" t="s">
        <v>520</v>
      </c>
      <c r="D524" s="332"/>
      <c r="E524" s="332"/>
      <c r="F524" s="325"/>
      <c r="G524" s="435">
        <f>+SUBTOTAL(9,G525:G560)</f>
        <v>217642.23</v>
      </c>
    </row>
    <row r="525" spans="2:7" hidden="1" outlineLevel="2">
      <c r="B525" s="331" t="s">
        <v>761</v>
      </c>
      <c r="C525" s="324" t="s">
        <v>54</v>
      </c>
      <c r="D525" s="332"/>
      <c r="E525" s="332"/>
      <c r="F525" s="325"/>
      <c r="G525" s="435">
        <f>+SUBTOTAL(9,G526:G527)</f>
        <v>15963.22</v>
      </c>
    </row>
    <row r="526" spans="2:7" hidden="1" outlineLevel="2">
      <c r="B526" s="330" t="s">
        <v>762</v>
      </c>
      <c r="C526" s="121" t="s">
        <v>523</v>
      </c>
      <c r="D526" s="332" t="s">
        <v>64</v>
      </c>
      <c r="E526" s="332">
        <v>179</v>
      </c>
      <c r="F526" s="325">
        <v>79.45</v>
      </c>
      <c r="G526" s="436">
        <f>ROUND(E526*F526,2)</f>
        <v>14221.55</v>
      </c>
    </row>
    <row r="527" spans="2:7" hidden="1" outlineLevel="2">
      <c r="B527" s="330" t="s">
        <v>763</v>
      </c>
      <c r="C527" s="121" t="s">
        <v>525</v>
      </c>
      <c r="D527" s="332" t="s">
        <v>64</v>
      </c>
      <c r="E527" s="332">
        <v>179</v>
      </c>
      <c r="F527" s="325">
        <v>9.73</v>
      </c>
      <c r="G527" s="436">
        <f>ROUND(E527*F527,2)</f>
        <v>1741.67</v>
      </c>
    </row>
    <row r="528" spans="2:7" hidden="1" outlineLevel="2">
      <c r="B528" s="331" t="s">
        <v>764</v>
      </c>
      <c r="C528" s="324" t="s">
        <v>66</v>
      </c>
      <c r="D528" s="332"/>
      <c r="E528" s="332"/>
      <c r="F528" s="325"/>
      <c r="G528" s="435">
        <f>+SUBTOTAL(9,G529:G532)</f>
        <v>27396.940000000002</v>
      </c>
    </row>
    <row r="529" spans="2:7" hidden="1" outlineLevel="2">
      <c r="B529" s="330" t="s">
        <v>765</v>
      </c>
      <c r="C529" s="121" t="s">
        <v>311</v>
      </c>
      <c r="D529" s="332" t="s">
        <v>69</v>
      </c>
      <c r="E529" s="332">
        <v>90.83</v>
      </c>
      <c r="F529" s="325">
        <v>264.68</v>
      </c>
      <c r="G529" s="436">
        <f>ROUND(E529*F529,2)</f>
        <v>24040.880000000001</v>
      </c>
    </row>
    <row r="530" spans="2:7" hidden="1" outlineLevel="2">
      <c r="B530" s="330" t="s">
        <v>766</v>
      </c>
      <c r="C530" s="121" t="s">
        <v>73</v>
      </c>
      <c r="D530" s="332" t="s">
        <v>57</v>
      </c>
      <c r="E530" s="332">
        <v>87.11</v>
      </c>
      <c r="F530" s="325">
        <v>14.12</v>
      </c>
      <c r="G530" s="436">
        <f>ROUND(E530*F530,2)</f>
        <v>1229.99</v>
      </c>
    </row>
    <row r="531" spans="2:7" hidden="1" outlineLevel="2">
      <c r="B531" s="330" t="s">
        <v>767</v>
      </c>
      <c r="C531" s="121" t="s">
        <v>75</v>
      </c>
      <c r="D531" s="332" t="s">
        <v>69</v>
      </c>
      <c r="E531" s="332">
        <v>9.15</v>
      </c>
      <c r="F531" s="325">
        <v>96.56</v>
      </c>
      <c r="G531" s="436">
        <f>ROUND(E531*F531,2)</f>
        <v>883.52</v>
      </c>
    </row>
    <row r="532" spans="2:7" hidden="1" outlineLevel="2">
      <c r="B532" s="330" t="s">
        <v>768</v>
      </c>
      <c r="C532" s="121" t="s">
        <v>77</v>
      </c>
      <c r="D532" s="332" t="s">
        <v>69</v>
      </c>
      <c r="E532" s="332">
        <v>90.83</v>
      </c>
      <c r="F532" s="325">
        <v>13.68</v>
      </c>
      <c r="G532" s="436">
        <f>ROUND(E532*F532,2)</f>
        <v>1242.55</v>
      </c>
    </row>
    <row r="533" spans="2:7" hidden="1" outlineLevel="2">
      <c r="B533" s="331" t="s">
        <v>769</v>
      </c>
      <c r="C533" s="324" t="s">
        <v>79</v>
      </c>
      <c r="D533" s="332"/>
      <c r="E533" s="332"/>
      <c r="F533" s="325"/>
      <c r="G533" s="435">
        <f>+SUBTOTAL(9,G534:G536)</f>
        <v>36557.660000000003</v>
      </c>
    </row>
    <row r="534" spans="2:7" hidden="1" outlineLevel="2">
      <c r="B534" s="330" t="s">
        <v>770</v>
      </c>
      <c r="C534" s="121" t="s">
        <v>318</v>
      </c>
      <c r="D534" s="332" t="s">
        <v>69</v>
      </c>
      <c r="E534" s="332">
        <v>74.040000000000006</v>
      </c>
      <c r="F534" s="325">
        <v>353.53</v>
      </c>
      <c r="G534" s="436">
        <f>ROUND(E534*F534,2)</f>
        <v>26175.360000000001</v>
      </c>
    </row>
    <row r="535" spans="2:7" hidden="1" outlineLevel="2">
      <c r="B535" s="330" t="s">
        <v>771</v>
      </c>
      <c r="C535" s="121" t="s">
        <v>772</v>
      </c>
      <c r="D535" s="332" t="s">
        <v>69</v>
      </c>
      <c r="E535" s="332">
        <v>12.81</v>
      </c>
      <c r="F535" s="325">
        <v>343.04</v>
      </c>
      <c r="G535" s="436">
        <f>ROUND(E535*F535,2)</f>
        <v>4394.34</v>
      </c>
    </row>
    <row r="536" spans="2:7" hidden="1" outlineLevel="2">
      <c r="B536" s="330" t="s">
        <v>773</v>
      </c>
      <c r="C536" s="121" t="s">
        <v>322</v>
      </c>
      <c r="D536" s="332" t="s">
        <v>57</v>
      </c>
      <c r="E536" s="332">
        <v>124.18</v>
      </c>
      <c r="F536" s="325">
        <v>48.22</v>
      </c>
      <c r="G536" s="436">
        <f>ROUND(E536*F536,2)</f>
        <v>5987.96</v>
      </c>
    </row>
    <row r="537" spans="2:7" hidden="1" outlineLevel="2">
      <c r="B537" s="331" t="s">
        <v>774</v>
      </c>
      <c r="C537" s="324" t="s">
        <v>85</v>
      </c>
      <c r="D537" s="332"/>
      <c r="E537" s="332"/>
      <c r="F537" s="325"/>
      <c r="G537" s="435">
        <f>+SUBTOTAL(9,G538:G545)</f>
        <v>57000.880000000005</v>
      </c>
    </row>
    <row r="538" spans="2:7" hidden="1" outlineLevel="2">
      <c r="B538" s="331" t="s">
        <v>775</v>
      </c>
      <c r="C538" s="324" t="s">
        <v>227</v>
      </c>
      <c r="D538" s="332"/>
      <c r="E538" s="332"/>
      <c r="F538" s="325"/>
      <c r="G538" s="435">
        <f>+SUBTOTAL(9,G539:G541)</f>
        <v>35028.32</v>
      </c>
    </row>
    <row r="539" spans="2:7" hidden="1" outlineLevel="2">
      <c r="B539" s="330" t="s">
        <v>776</v>
      </c>
      <c r="C539" s="121" t="s">
        <v>538</v>
      </c>
      <c r="D539" s="332" t="s">
        <v>69</v>
      </c>
      <c r="E539" s="332">
        <v>14.63</v>
      </c>
      <c r="F539" s="325">
        <v>579.37</v>
      </c>
      <c r="G539" s="436">
        <f>ROUND(E539*F539,2)</f>
        <v>8476.18</v>
      </c>
    </row>
    <row r="540" spans="2:7" hidden="1" outlineLevel="2">
      <c r="B540" s="330" t="s">
        <v>777</v>
      </c>
      <c r="C540" s="121" t="s">
        <v>231</v>
      </c>
      <c r="D540" s="332" t="s">
        <v>57</v>
      </c>
      <c r="E540" s="332">
        <v>110.25</v>
      </c>
      <c r="F540" s="325">
        <v>65.900000000000006</v>
      </c>
      <c r="G540" s="436">
        <f>ROUND(E540*F540,2)</f>
        <v>7265.48</v>
      </c>
    </row>
    <row r="541" spans="2:7" hidden="1" outlineLevel="2">
      <c r="B541" s="330" t="s">
        <v>778</v>
      </c>
      <c r="C541" s="121" t="s">
        <v>233</v>
      </c>
      <c r="D541" s="332" t="s">
        <v>94</v>
      </c>
      <c r="E541" s="327">
        <v>2578.4299999999998</v>
      </c>
      <c r="F541" s="325">
        <v>7.48</v>
      </c>
      <c r="G541" s="436">
        <f>ROUND(E541*F541,2)</f>
        <v>19286.66</v>
      </c>
    </row>
    <row r="542" spans="2:7" hidden="1" outlineLevel="2">
      <c r="B542" s="331" t="s">
        <v>779</v>
      </c>
      <c r="C542" s="324" t="s">
        <v>241</v>
      </c>
      <c r="D542" s="332"/>
      <c r="E542" s="332"/>
      <c r="F542" s="325"/>
      <c r="G542" s="435">
        <f>+SUBTOTAL(9,G543:G545)</f>
        <v>21972.559999999998</v>
      </c>
    </row>
    <row r="543" spans="2:7" hidden="1" outlineLevel="2">
      <c r="B543" s="330" t="s">
        <v>780</v>
      </c>
      <c r="C543" s="121" t="s">
        <v>543</v>
      </c>
      <c r="D543" s="332" t="s">
        <v>69</v>
      </c>
      <c r="E543" s="332">
        <v>10.84</v>
      </c>
      <c r="F543" s="325">
        <v>523.88</v>
      </c>
      <c r="G543" s="436">
        <f>ROUND(E543*F543,2)</f>
        <v>5678.86</v>
      </c>
    </row>
    <row r="544" spans="2:7" hidden="1" outlineLevel="2">
      <c r="B544" s="330" t="s">
        <v>781</v>
      </c>
      <c r="C544" s="121" t="s">
        <v>122</v>
      </c>
      <c r="D544" s="332" t="s">
        <v>57</v>
      </c>
      <c r="E544" s="332">
        <v>125.67</v>
      </c>
      <c r="F544" s="325">
        <v>75.39</v>
      </c>
      <c r="G544" s="436">
        <f>ROUND(E544*F544,2)</f>
        <v>9474.26</v>
      </c>
    </row>
    <row r="545" spans="2:7" hidden="1" outlineLevel="2">
      <c r="B545" s="330" t="s">
        <v>782</v>
      </c>
      <c r="C545" s="121" t="s">
        <v>336</v>
      </c>
      <c r="D545" s="332" t="s">
        <v>94</v>
      </c>
      <c r="E545" s="332">
        <v>911.69</v>
      </c>
      <c r="F545" s="325">
        <v>7.48</v>
      </c>
      <c r="G545" s="436">
        <f>ROUND(E545*F545,2)</f>
        <v>6819.44</v>
      </c>
    </row>
    <row r="546" spans="2:7" hidden="1" outlineLevel="2">
      <c r="B546" s="331" t="s">
        <v>783</v>
      </c>
      <c r="C546" s="324" t="s">
        <v>343</v>
      </c>
      <c r="D546" s="332"/>
      <c r="E546" s="332"/>
      <c r="F546" s="325"/>
      <c r="G546" s="435">
        <f>+SUBTOTAL(9,G547:G549)</f>
        <v>49960.68</v>
      </c>
    </row>
    <row r="547" spans="2:7" hidden="1" outlineLevel="2">
      <c r="B547" s="330" t="s">
        <v>784</v>
      </c>
      <c r="C547" s="121" t="s">
        <v>548</v>
      </c>
      <c r="D547" s="332" t="s">
        <v>57</v>
      </c>
      <c r="E547" s="332">
        <v>310.47000000000003</v>
      </c>
      <c r="F547" s="325">
        <v>102.79</v>
      </c>
      <c r="G547" s="436">
        <f>ROUND(E547*F547,2)</f>
        <v>31913.21</v>
      </c>
    </row>
    <row r="548" spans="2:7" hidden="1" outlineLevel="2">
      <c r="B548" s="330" t="s">
        <v>785</v>
      </c>
      <c r="C548" s="121" t="s">
        <v>550</v>
      </c>
      <c r="D548" s="332" t="s">
        <v>64</v>
      </c>
      <c r="E548" s="332">
        <v>508.8</v>
      </c>
      <c r="F548" s="325">
        <v>2.8</v>
      </c>
      <c r="G548" s="436">
        <f>ROUND(E548*F548,2)</f>
        <v>1424.64</v>
      </c>
    </row>
    <row r="549" spans="2:7" hidden="1" outlineLevel="2">
      <c r="B549" s="330" t="s">
        <v>786</v>
      </c>
      <c r="C549" s="121" t="s">
        <v>552</v>
      </c>
      <c r="D549" s="332" t="s">
        <v>57</v>
      </c>
      <c r="E549" s="332">
        <v>620.95000000000005</v>
      </c>
      <c r="F549" s="325">
        <v>26.77</v>
      </c>
      <c r="G549" s="436">
        <f>ROUND(E549*F549,2)</f>
        <v>16622.830000000002</v>
      </c>
    </row>
    <row r="550" spans="2:7" hidden="1" outlineLevel="2">
      <c r="B550" s="331" t="s">
        <v>787</v>
      </c>
      <c r="C550" s="324" t="s">
        <v>134</v>
      </c>
      <c r="D550" s="332"/>
      <c r="E550" s="332"/>
      <c r="F550" s="325"/>
      <c r="G550" s="435">
        <f>+SUBTOTAL(9,G551)</f>
        <v>9538.99</v>
      </c>
    </row>
    <row r="551" spans="2:7" hidden="1" outlineLevel="2">
      <c r="B551" s="330" t="s">
        <v>788</v>
      </c>
      <c r="C551" s="121" t="s">
        <v>555</v>
      </c>
      <c r="D551" s="332" t="s">
        <v>57</v>
      </c>
      <c r="E551" s="332">
        <v>348.52</v>
      </c>
      <c r="F551" s="325">
        <v>27.37</v>
      </c>
      <c r="G551" s="436">
        <f>ROUND(E551*F551,2)</f>
        <v>9538.99</v>
      </c>
    </row>
    <row r="552" spans="2:7" hidden="1" outlineLevel="2">
      <c r="B552" s="331" t="s">
        <v>789</v>
      </c>
      <c r="C552" s="324" t="s">
        <v>162</v>
      </c>
      <c r="D552" s="332"/>
      <c r="E552" s="332"/>
      <c r="F552" s="325"/>
      <c r="G552" s="435">
        <f>+SUBTOTAL(9,G553)</f>
        <v>3753</v>
      </c>
    </row>
    <row r="553" spans="2:7" hidden="1" outlineLevel="2">
      <c r="B553" s="330" t="s">
        <v>790</v>
      </c>
      <c r="C553" s="121" t="s">
        <v>558</v>
      </c>
      <c r="D553" s="332" t="s">
        <v>287</v>
      </c>
      <c r="E553" s="332">
        <v>1</v>
      </c>
      <c r="F553" s="325">
        <v>3753</v>
      </c>
      <c r="G553" s="436">
        <f>ROUND(E553*F553,2)</f>
        <v>3753</v>
      </c>
    </row>
    <row r="554" spans="2:7" hidden="1" outlineLevel="2">
      <c r="B554" s="331" t="s">
        <v>791</v>
      </c>
      <c r="C554" s="324" t="s">
        <v>174</v>
      </c>
      <c r="D554" s="332"/>
      <c r="E554" s="332"/>
      <c r="F554" s="325"/>
      <c r="G554" s="435">
        <f>+SUBTOTAL(9,G555:G556)</f>
        <v>10339.51</v>
      </c>
    </row>
    <row r="555" spans="2:7" hidden="1" outlineLevel="2">
      <c r="B555" s="330" t="s">
        <v>792</v>
      </c>
      <c r="C555" s="121" t="s">
        <v>561</v>
      </c>
      <c r="D555" s="332" t="s">
        <v>57</v>
      </c>
      <c r="E555" s="332">
        <v>620.95000000000005</v>
      </c>
      <c r="F555" s="325">
        <v>10.32</v>
      </c>
      <c r="G555" s="436">
        <f>ROUND(E555*F555,2)</f>
        <v>6408.2</v>
      </c>
    </row>
    <row r="556" spans="2:7" hidden="1" outlineLevel="2">
      <c r="B556" s="330" t="s">
        <v>793</v>
      </c>
      <c r="C556" s="121" t="s">
        <v>563</v>
      </c>
      <c r="D556" s="332" t="s">
        <v>57</v>
      </c>
      <c r="E556" s="332">
        <v>348.52</v>
      </c>
      <c r="F556" s="325">
        <v>11.28</v>
      </c>
      <c r="G556" s="436">
        <f>ROUND(E556*F556,2)</f>
        <v>3931.31</v>
      </c>
    </row>
    <row r="557" spans="2:7" hidden="1" outlineLevel="2">
      <c r="B557" s="331" t="s">
        <v>794</v>
      </c>
      <c r="C557" s="324" t="s">
        <v>185</v>
      </c>
      <c r="D557" s="332"/>
      <c r="E557" s="332"/>
      <c r="F557" s="325"/>
      <c r="G557" s="435">
        <f>+SUBTOTAL(9,G558:G560)</f>
        <v>7131.35</v>
      </c>
    </row>
    <row r="558" spans="2:7" hidden="1" outlineLevel="2">
      <c r="B558" s="330" t="s">
        <v>792</v>
      </c>
      <c r="C558" s="121" t="s">
        <v>187</v>
      </c>
      <c r="D558" s="332" t="s">
        <v>57</v>
      </c>
      <c r="E558" s="332">
        <v>113.16</v>
      </c>
      <c r="F558" s="325">
        <v>28.06</v>
      </c>
      <c r="G558" s="436">
        <f>ROUND(E558*F558,2)</f>
        <v>3175.27</v>
      </c>
    </row>
    <row r="559" spans="2:7" hidden="1" outlineLevel="2">
      <c r="B559" s="330" t="s">
        <v>793</v>
      </c>
      <c r="C559" s="121" t="s">
        <v>193</v>
      </c>
      <c r="D559" s="332" t="s">
        <v>57</v>
      </c>
      <c r="E559" s="332">
        <v>360.1</v>
      </c>
      <c r="F559" s="325">
        <v>10.27</v>
      </c>
      <c r="G559" s="436">
        <f>ROUND(E559*F559,2)</f>
        <v>3698.23</v>
      </c>
    </row>
    <row r="560" spans="2:7" hidden="1" outlineLevel="2">
      <c r="B560" s="330" t="s">
        <v>795</v>
      </c>
      <c r="C560" s="121" t="s">
        <v>183</v>
      </c>
      <c r="D560" s="332" t="s">
        <v>43</v>
      </c>
      <c r="E560" s="332">
        <v>9</v>
      </c>
      <c r="F560" s="325">
        <v>28.65</v>
      </c>
      <c r="G560" s="436">
        <f>ROUND(E560*F560,2)</f>
        <v>257.85000000000002</v>
      </c>
    </row>
    <row r="561" spans="2:7" hidden="1" outlineLevel="1" collapsed="1">
      <c r="B561" s="331" t="s">
        <v>796</v>
      </c>
      <c r="C561" s="324" t="s">
        <v>567</v>
      </c>
      <c r="D561" s="332"/>
      <c r="E561" s="332"/>
      <c r="F561" s="325"/>
      <c r="G561" s="435">
        <f>+SUBTOTAL(9,G562:G571)</f>
        <v>67334.38</v>
      </c>
    </row>
    <row r="562" spans="2:7" hidden="1" outlineLevel="2">
      <c r="B562" s="331" t="s">
        <v>797</v>
      </c>
      <c r="C562" s="324" t="s">
        <v>54</v>
      </c>
      <c r="D562" s="332"/>
      <c r="E562" s="332"/>
      <c r="F562" s="325"/>
      <c r="G562" s="435">
        <f>+SUBTOTAL(9,G563:G564)</f>
        <v>43953.270000000004</v>
      </c>
    </row>
    <row r="563" spans="2:7" hidden="1" outlineLevel="2">
      <c r="B563" s="330" t="s">
        <v>798</v>
      </c>
      <c r="C563" s="121" t="s">
        <v>56</v>
      </c>
      <c r="D563" s="332" t="s">
        <v>57</v>
      </c>
      <c r="E563" s="332">
        <v>330.6</v>
      </c>
      <c r="F563" s="325">
        <v>68.64</v>
      </c>
      <c r="G563" s="436">
        <f>ROUND(E563*F563,2)</f>
        <v>22692.38</v>
      </c>
    </row>
    <row r="564" spans="2:7" hidden="1" outlineLevel="2">
      <c r="B564" s="330" t="s">
        <v>799</v>
      </c>
      <c r="C564" s="121" t="s">
        <v>199</v>
      </c>
      <c r="D564" s="332" t="s">
        <v>57</v>
      </c>
      <c r="E564" s="332">
        <v>330.6</v>
      </c>
      <c r="F564" s="325">
        <v>64.31</v>
      </c>
      <c r="G564" s="436">
        <f>ROUND(E564*F564,2)</f>
        <v>21260.89</v>
      </c>
    </row>
    <row r="565" spans="2:7" hidden="1" outlineLevel="2">
      <c r="B565" s="331" t="s">
        <v>800</v>
      </c>
      <c r="C565" s="324" t="s">
        <v>66</v>
      </c>
      <c r="D565" s="332"/>
      <c r="E565" s="332"/>
      <c r="F565" s="325"/>
      <c r="G565" s="435">
        <f>+SUBTOTAL(9,G566:G569)</f>
        <v>16762.5</v>
      </c>
    </row>
    <row r="566" spans="2:7" hidden="1" outlineLevel="2">
      <c r="B566" s="330" t="s">
        <v>801</v>
      </c>
      <c r="C566" s="121" t="s">
        <v>573</v>
      </c>
      <c r="D566" s="332" t="s">
        <v>69</v>
      </c>
      <c r="E566" s="332">
        <v>361.99</v>
      </c>
      <c r="F566" s="325">
        <v>9.9600000000000009</v>
      </c>
      <c r="G566" s="436">
        <f>ROUND(E566*F566,2)</f>
        <v>3605.42</v>
      </c>
    </row>
    <row r="567" spans="2:7" hidden="1" outlineLevel="2">
      <c r="B567" s="330" t="s">
        <v>802</v>
      </c>
      <c r="C567" s="121" t="s">
        <v>73</v>
      </c>
      <c r="D567" s="332" t="s">
        <v>57</v>
      </c>
      <c r="E567" s="332">
        <v>330.6</v>
      </c>
      <c r="F567" s="325">
        <v>14.12</v>
      </c>
      <c r="G567" s="436">
        <f>ROUND(E567*F567,2)</f>
        <v>4668.07</v>
      </c>
    </row>
    <row r="568" spans="2:7" hidden="1" outlineLevel="2">
      <c r="B568" s="330" t="s">
        <v>803</v>
      </c>
      <c r="C568" s="121" t="s">
        <v>75</v>
      </c>
      <c r="D568" s="332" t="s">
        <v>69</v>
      </c>
      <c r="E568" s="332">
        <v>36.630000000000003</v>
      </c>
      <c r="F568" s="325">
        <v>96.56</v>
      </c>
      <c r="G568" s="436">
        <f>ROUND(E568*F568,2)</f>
        <v>3536.99</v>
      </c>
    </row>
    <row r="569" spans="2:7" hidden="1" outlineLevel="2">
      <c r="B569" s="330" t="s">
        <v>804</v>
      </c>
      <c r="C569" s="121" t="s">
        <v>77</v>
      </c>
      <c r="D569" s="332" t="s">
        <v>69</v>
      </c>
      <c r="E569" s="332">
        <v>361.99</v>
      </c>
      <c r="F569" s="325">
        <v>13.68</v>
      </c>
      <c r="G569" s="436">
        <f>ROUND(E569*F569,2)</f>
        <v>4952.0200000000004</v>
      </c>
    </row>
    <row r="570" spans="2:7" hidden="1" outlineLevel="2">
      <c r="B570" s="331" t="s">
        <v>805</v>
      </c>
      <c r="C570" s="324" t="s">
        <v>579</v>
      </c>
      <c r="D570" s="332"/>
      <c r="E570" s="332"/>
      <c r="F570" s="325"/>
      <c r="G570" s="435">
        <f>+SUBTOTAL(9,G571)</f>
        <v>6618.61</v>
      </c>
    </row>
    <row r="571" spans="2:7" hidden="1" outlineLevel="2">
      <c r="B571" s="330" t="s">
        <v>806</v>
      </c>
      <c r="C571" s="121" t="s">
        <v>581</v>
      </c>
      <c r="D571" s="332" t="s">
        <v>57</v>
      </c>
      <c r="E571" s="332">
        <v>330.6</v>
      </c>
      <c r="F571" s="325">
        <v>20.02</v>
      </c>
      <c r="G571" s="436">
        <f>ROUND(E571*F571,2)</f>
        <v>6618.61</v>
      </c>
    </row>
    <row r="572" spans="2:7" hidden="1" outlineLevel="1">
      <c r="B572" s="331">
        <v>1.05</v>
      </c>
      <c r="C572" s="324" t="s">
        <v>807</v>
      </c>
      <c r="D572" s="332"/>
      <c r="E572" s="332"/>
      <c r="F572" s="325"/>
      <c r="G572" s="435">
        <f>+SUBTOTAL(9,G573:G966)</f>
        <v>873367.79999999958</v>
      </c>
    </row>
    <row r="573" spans="2:7" hidden="1" outlineLevel="1" collapsed="1">
      <c r="B573" s="331" t="s">
        <v>808</v>
      </c>
      <c r="C573" s="324" t="s">
        <v>809</v>
      </c>
      <c r="D573" s="332"/>
      <c r="E573" s="332"/>
      <c r="F573" s="325"/>
      <c r="G573" s="435">
        <f>+SUBTOTAL(9,G574:G625)</f>
        <v>511086.52999999962</v>
      </c>
    </row>
    <row r="574" spans="2:7" hidden="1" outlineLevel="2">
      <c r="B574" s="331" t="s">
        <v>810</v>
      </c>
      <c r="C574" s="324" t="s">
        <v>54</v>
      </c>
      <c r="D574" s="332"/>
      <c r="E574" s="332"/>
      <c r="F574" s="325"/>
      <c r="G574" s="435">
        <f>+SUBTOTAL(9,G575:G579)</f>
        <v>51709.91</v>
      </c>
    </row>
    <row r="575" spans="2:7" hidden="1" outlineLevel="2">
      <c r="B575" s="330" t="s">
        <v>811</v>
      </c>
      <c r="C575" s="121" t="s">
        <v>56</v>
      </c>
      <c r="D575" s="332" t="s">
        <v>57</v>
      </c>
      <c r="E575" s="332">
        <v>65.5</v>
      </c>
      <c r="F575" s="325">
        <v>68.64</v>
      </c>
      <c r="G575" s="436">
        <f>ROUND(E575*F575,2)</f>
        <v>4495.92</v>
      </c>
    </row>
    <row r="576" spans="2:7" hidden="1" outlineLevel="2">
      <c r="B576" s="330" t="s">
        <v>812</v>
      </c>
      <c r="C576" s="121" t="s">
        <v>199</v>
      </c>
      <c r="D576" s="332" t="s">
        <v>57</v>
      </c>
      <c r="E576" s="332">
        <v>65.5</v>
      </c>
      <c r="F576" s="325">
        <v>64.31</v>
      </c>
      <c r="G576" s="436">
        <f>ROUND(E576*F576,2)</f>
        <v>4212.3100000000004</v>
      </c>
    </row>
    <row r="577" spans="2:7" hidden="1" outlineLevel="2">
      <c r="B577" s="330" t="s">
        <v>813</v>
      </c>
      <c r="C577" s="121" t="s">
        <v>61</v>
      </c>
      <c r="D577" s="332" t="s">
        <v>57</v>
      </c>
      <c r="E577" s="332">
        <v>65.5</v>
      </c>
      <c r="F577" s="325">
        <v>2.9</v>
      </c>
      <c r="G577" s="436">
        <f>ROUND(E577*F577,2)</f>
        <v>189.95</v>
      </c>
    </row>
    <row r="578" spans="2:7" hidden="1" outlineLevel="2">
      <c r="B578" s="330" t="s">
        <v>814</v>
      </c>
      <c r="C578" s="121" t="s">
        <v>63</v>
      </c>
      <c r="D578" s="332" t="s">
        <v>64</v>
      </c>
      <c r="E578" s="332">
        <v>59.7</v>
      </c>
      <c r="F578" s="325">
        <v>4.1399999999999997</v>
      </c>
      <c r="G578" s="436">
        <f>ROUND(E578*F578,2)</f>
        <v>247.16</v>
      </c>
    </row>
    <row r="579" spans="2:7" hidden="1" outlineLevel="2">
      <c r="B579" s="330" t="s">
        <v>815</v>
      </c>
      <c r="C579" s="121" t="s">
        <v>816</v>
      </c>
      <c r="D579" s="332" t="s">
        <v>69</v>
      </c>
      <c r="E579" s="332">
        <v>46.18</v>
      </c>
      <c r="F579" s="325">
        <v>921.71</v>
      </c>
      <c r="G579" s="436">
        <f>ROUND(E579*F579,2)</f>
        <v>42564.57</v>
      </c>
    </row>
    <row r="580" spans="2:7" hidden="1" outlineLevel="2">
      <c r="B580" s="331" t="s">
        <v>817</v>
      </c>
      <c r="C580" s="324" t="s">
        <v>66</v>
      </c>
      <c r="D580" s="332"/>
      <c r="E580" s="332"/>
      <c r="F580" s="325"/>
      <c r="G580" s="435">
        <f>+SUBTOTAL(9,G581:G583)</f>
        <v>120905.14</v>
      </c>
    </row>
    <row r="581" spans="2:7" hidden="1" outlineLevel="2">
      <c r="B581" s="330" t="s">
        <v>818</v>
      </c>
      <c r="C581" s="121" t="s">
        <v>68</v>
      </c>
      <c r="D581" s="332" t="s">
        <v>69</v>
      </c>
      <c r="E581" s="332">
        <v>476.15</v>
      </c>
      <c r="F581" s="325">
        <v>238.3</v>
      </c>
      <c r="G581" s="436">
        <f>ROUND(E581*F581,2)</f>
        <v>113466.55</v>
      </c>
    </row>
    <row r="582" spans="2:7" hidden="1" outlineLevel="2">
      <c r="B582" s="330" t="s">
        <v>819</v>
      </c>
      <c r="C582" s="121" t="s">
        <v>73</v>
      </c>
      <c r="D582" s="332" t="s">
        <v>57</v>
      </c>
      <c r="E582" s="332">
        <v>65.5</v>
      </c>
      <c r="F582" s="325">
        <v>14.12</v>
      </c>
      <c r="G582" s="436">
        <f>ROUND(E582*F582,2)</f>
        <v>924.86</v>
      </c>
    </row>
    <row r="583" spans="2:7" hidden="1" outlineLevel="2">
      <c r="B583" s="330" t="s">
        <v>819</v>
      </c>
      <c r="C583" s="121" t="s">
        <v>77</v>
      </c>
      <c r="D583" s="332" t="s">
        <v>69</v>
      </c>
      <c r="E583" s="332">
        <v>476.15</v>
      </c>
      <c r="F583" s="325">
        <v>13.68</v>
      </c>
      <c r="G583" s="436">
        <f>ROUND(E583*F583,2)</f>
        <v>6513.73</v>
      </c>
    </row>
    <row r="584" spans="2:7" hidden="1" outlineLevel="2">
      <c r="B584" s="331" t="s">
        <v>820</v>
      </c>
      <c r="C584" s="324" t="s">
        <v>79</v>
      </c>
      <c r="D584" s="332"/>
      <c r="E584" s="332"/>
      <c r="F584" s="325"/>
      <c r="G584" s="435">
        <f>+SUBTOTAL(9,G585)</f>
        <v>2610.96</v>
      </c>
    </row>
    <row r="585" spans="2:7" hidden="1" outlineLevel="2">
      <c r="B585" s="330" t="s">
        <v>821</v>
      </c>
      <c r="C585" s="121" t="s">
        <v>81</v>
      </c>
      <c r="D585" s="332" t="s">
        <v>69</v>
      </c>
      <c r="E585" s="332">
        <v>6.55</v>
      </c>
      <c r="F585" s="325">
        <v>398.62</v>
      </c>
      <c r="G585" s="436">
        <f>ROUND(E585*F585,2)</f>
        <v>2610.96</v>
      </c>
    </row>
    <row r="586" spans="2:7" hidden="1" outlineLevel="2">
      <c r="B586" s="331" t="s">
        <v>822</v>
      </c>
      <c r="C586" s="324" t="s">
        <v>85</v>
      </c>
      <c r="D586" s="332"/>
      <c r="E586" s="332"/>
      <c r="F586" s="325"/>
      <c r="G586" s="435">
        <f>+SUBTOTAL(9,G587:G602)</f>
        <v>241751.69999999995</v>
      </c>
    </row>
    <row r="587" spans="2:7" hidden="1" outlineLevel="2">
      <c r="B587" s="331" t="s">
        <v>823</v>
      </c>
      <c r="C587" s="324" t="s">
        <v>824</v>
      </c>
      <c r="D587" s="332"/>
      <c r="E587" s="332"/>
      <c r="F587" s="325"/>
      <c r="G587" s="435">
        <f>+SUBTOTAL(9,G588:G590)</f>
        <v>41635.35</v>
      </c>
    </row>
    <row r="588" spans="2:7" hidden="1" outlineLevel="2">
      <c r="B588" s="330" t="s">
        <v>825</v>
      </c>
      <c r="C588" s="121" t="s">
        <v>826</v>
      </c>
      <c r="D588" s="332" t="s">
        <v>69</v>
      </c>
      <c r="E588" s="332">
        <v>32.159999999999997</v>
      </c>
      <c r="F588" s="325">
        <v>476.71</v>
      </c>
      <c r="G588" s="436">
        <f>ROUND(E588*F588,2)</f>
        <v>15330.99</v>
      </c>
    </row>
    <row r="589" spans="2:7" hidden="1" outlineLevel="2">
      <c r="B589" s="330" t="s">
        <v>827</v>
      </c>
      <c r="C589" s="121" t="s">
        <v>828</v>
      </c>
      <c r="D589" s="332" t="s">
        <v>57</v>
      </c>
      <c r="E589" s="332">
        <v>4.3899999999999997</v>
      </c>
      <c r="F589" s="325">
        <v>48.22</v>
      </c>
      <c r="G589" s="436">
        <f>ROUND(E589*F589,2)</f>
        <v>211.69</v>
      </c>
    </row>
    <row r="590" spans="2:7" hidden="1" outlineLevel="2">
      <c r="B590" s="330" t="s">
        <v>829</v>
      </c>
      <c r="C590" s="121" t="s">
        <v>830</v>
      </c>
      <c r="D590" s="332" t="s">
        <v>94</v>
      </c>
      <c r="E590" s="327">
        <v>3540.39</v>
      </c>
      <c r="F590" s="325">
        <v>7.37</v>
      </c>
      <c r="G590" s="436">
        <f>ROUND(E590*F590,2)</f>
        <v>26092.67</v>
      </c>
    </row>
    <row r="591" spans="2:7" hidden="1" outlineLevel="2">
      <c r="B591" s="331" t="s">
        <v>831</v>
      </c>
      <c r="C591" s="324" t="s">
        <v>102</v>
      </c>
      <c r="D591" s="332"/>
      <c r="E591" s="332"/>
      <c r="F591" s="325"/>
      <c r="G591" s="435">
        <f>+SUBTOTAL(9,G592:G594)</f>
        <v>168763.13</v>
      </c>
    </row>
    <row r="592" spans="2:7" hidden="1" outlineLevel="2">
      <c r="B592" s="330" t="s">
        <v>832</v>
      </c>
      <c r="C592" s="121" t="s">
        <v>104</v>
      </c>
      <c r="D592" s="332" t="s">
        <v>69</v>
      </c>
      <c r="E592" s="332">
        <v>95.03</v>
      </c>
      <c r="F592" s="325">
        <v>479.71</v>
      </c>
      <c r="G592" s="436">
        <f>ROUND(E592*F592,2)</f>
        <v>45586.84</v>
      </c>
    </row>
    <row r="593" spans="2:7" hidden="1" outlineLevel="2">
      <c r="B593" s="330" t="s">
        <v>833</v>
      </c>
      <c r="C593" s="121" t="s">
        <v>106</v>
      </c>
      <c r="D593" s="332" t="s">
        <v>57</v>
      </c>
      <c r="E593" s="332">
        <v>452.71</v>
      </c>
      <c r="F593" s="325">
        <v>64.8</v>
      </c>
      <c r="G593" s="436">
        <f>ROUND(E593*F593,2)</f>
        <v>29335.61</v>
      </c>
    </row>
    <row r="594" spans="2:7" hidden="1" outlineLevel="2">
      <c r="B594" s="330" t="s">
        <v>834</v>
      </c>
      <c r="C594" s="121" t="s">
        <v>108</v>
      </c>
      <c r="D594" s="332" t="s">
        <v>94</v>
      </c>
      <c r="E594" s="327">
        <v>12495.43</v>
      </c>
      <c r="F594" s="325">
        <v>7.51</v>
      </c>
      <c r="G594" s="436">
        <f>ROUND(E594*F594,2)</f>
        <v>93840.68</v>
      </c>
    </row>
    <row r="595" spans="2:7" hidden="1" outlineLevel="2">
      <c r="B595" s="331" t="s">
        <v>835</v>
      </c>
      <c r="C595" s="324" t="s">
        <v>241</v>
      </c>
      <c r="D595" s="332"/>
      <c r="E595" s="332"/>
      <c r="F595" s="325"/>
      <c r="G595" s="435">
        <f>+SUBTOTAL(9,G596:G598)</f>
        <v>14520.099999999999</v>
      </c>
    </row>
    <row r="596" spans="2:7" hidden="1" outlineLevel="2">
      <c r="B596" s="330" t="s">
        <v>836</v>
      </c>
      <c r="C596" s="121" t="s">
        <v>120</v>
      </c>
      <c r="D596" s="332" t="s">
        <v>69</v>
      </c>
      <c r="E596" s="332">
        <v>8.14</v>
      </c>
      <c r="F596" s="325">
        <v>485.11</v>
      </c>
      <c r="G596" s="436">
        <f>ROUND(E596*F596,2)</f>
        <v>3948.8</v>
      </c>
    </row>
    <row r="597" spans="2:7" hidden="1" outlineLevel="2">
      <c r="B597" s="330" t="s">
        <v>837</v>
      </c>
      <c r="C597" s="121" t="s">
        <v>122</v>
      </c>
      <c r="D597" s="332" t="s">
        <v>57</v>
      </c>
      <c r="E597" s="332">
        <v>50.27</v>
      </c>
      <c r="F597" s="325">
        <v>75.39</v>
      </c>
      <c r="G597" s="436">
        <f>ROUND(E597*F597,2)</f>
        <v>3789.86</v>
      </c>
    </row>
    <row r="598" spans="2:7" hidden="1" outlineLevel="2">
      <c r="B598" s="330" t="s">
        <v>838</v>
      </c>
      <c r="C598" s="121" t="s">
        <v>336</v>
      </c>
      <c r="D598" s="332" t="s">
        <v>94</v>
      </c>
      <c r="E598" s="332">
        <v>906.61</v>
      </c>
      <c r="F598" s="325">
        <v>7.48</v>
      </c>
      <c r="G598" s="436">
        <f>ROUND(E598*F598,2)</f>
        <v>6781.44</v>
      </c>
    </row>
    <row r="599" spans="2:7" hidden="1" outlineLevel="2">
      <c r="B599" s="331" t="s">
        <v>839</v>
      </c>
      <c r="C599" s="324" t="s">
        <v>840</v>
      </c>
      <c r="D599" s="332"/>
      <c r="E599" s="332"/>
      <c r="F599" s="325"/>
      <c r="G599" s="435">
        <f>+SUBTOTAL(9,G600:G602)</f>
        <v>16833.120000000003</v>
      </c>
    </row>
    <row r="600" spans="2:7" hidden="1" outlineLevel="2">
      <c r="B600" s="330" t="s">
        <v>841</v>
      </c>
      <c r="C600" s="121" t="s">
        <v>842</v>
      </c>
      <c r="D600" s="332" t="s">
        <v>69</v>
      </c>
      <c r="E600" s="332">
        <v>9.4600000000000009</v>
      </c>
      <c r="F600" s="325">
        <v>476.71</v>
      </c>
      <c r="G600" s="436">
        <f>ROUND(E600*F600,2)</f>
        <v>4509.68</v>
      </c>
    </row>
    <row r="601" spans="2:7" hidden="1" outlineLevel="2">
      <c r="B601" s="330" t="s">
        <v>843</v>
      </c>
      <c r="C601" s="121" t="s">
        <v>252</v>
      </c>
      <c r="D601" s="332" t="s">
        <v>57</v>
      </c>
      <c r="E601" s="332">
        <v>47.3</v>
      </c>
      <c r="F601" s="325">
        <v>60.67</v>
      </c>
      <c r="G601" s="436">
        <f>ROUND(E601*F601,2)</f>
        <v>2869.69</v>
      </c>
    </row>
    <row r="602" spans="2:7" hidden="1" outlineLevel="2">
      <c r="B602" s="330" t="s">
        <v>844</v>
      </c>
      <c r="C602" s="121" t="s">
        <v>254</v>
      </c>
      <c r="D602" s="332" t="s">
        <v>94</v>
      </c>
      <c r="E602" s="327">
        <v>1263.8699999999999</v>
      </c>
      <c r="F602" s="325">
        <v>7.48</v>
      </c>
      <c r="G602" s="436">
        <f>ROUND(E602*F602,2)</f>
        <v>9453.75</v>
      </c>
    </row>
    <row r="603" spans="2:7" hidden="1" outlineLevel="2">
      <c r="B603" s="331" t="s">
        <v>845</v>
      </c>
      <c r="C603" s="324" t="s">
        <v>134</v>
      </c>
      <c r="D603" s="332"/>
      <c r="E603" s="332"/>
      <c r="F603" s="325"/>
      <c r="G603" s="435">
        <f>+SUBTOTAL(9,G604:G614)</f>
        <v>36800.520000000004</v>
      </c>
    </row>
    <row r="604" spans="2:7" ht="30" hidden="1" outlineLevel="2">
      <c r="B604" s="330" t="s">
        <v>846</v>
      </c>
      <c r="C604" s="121" t="s">
        <v>136</v>
      </c>
      <c r="D604" s="332" t="s">
        <v>57</v>
      </c>
      <c r="E604" s="332">
        <v>65.5</v>
      </c>
      <c r="F604" s="325">
        <v>28.74</v>
      </c>
      <c r="G604" s="436">
        <f t="shared" ref="G604:G614" si="10">ROUND(E604*F604,2)</f>
        <v>1882.47</v>
      </c>
    </row>
    <row r="605" spans="2:7" ht="30" hidden="1" outlineLevel="2">
      <c r="B605" s="330" t="s">
        <v>847</v>
      </c>
      <c r="C605" s="121" t="s">
        <v>138</v>
      </c>
      <c r="D605" s="332" t="s">
        <v>57</v>
      </c>
      <c r="E605" s="332">
        <v>65.5</v>
      </c>
      <c r="F605" s="325">
        <v>28.74</v>
      </c>
      <c r="G605" s="436">
        <f t="shared" si="10"/>
        <v>1882.47</v>
      </c>
    </row>
    <row r="606" spans="2:7" ht="30" hidden="1" outlineLevel="2">
      <c r="B606" s="330" t="s">
        <v>848</v>
      </c>
      <c r="C606" s="121" t="s">
        <v>140</v>
      </c>
      <c r="D606" s="332" t="s">
        <v>57</v>
      </c>
      <c r="E606" s="332">
        <v>278.79000000000002</v>
      </c>
      <c r="F606" s="325">
        <v>28.74</v>
      </c>
      <c r="G606" s="436">
        <f t="shared" si="10"/>
        <v>8012.42</v>
      </c>
    </row>
    <row r="607" spans="2:7" ht="30" hidden="1" outlineLevel="2">
      <c r="B607" s="330" t="s">
        <v>849</v>
      </c>
      <c r="C607" s="121" t="s">
        <v>142</v>
      </c>
      <c r="D607" s="332" t="s">
        <v>57</v>
      </c>
      <c r="E607" s="332">
        <v>278.79000000000002</v>
      </c>
      <c r="F607" s="325">
        <v>29.3</v>
      </c>
      <c r="G607" s="436">
        <f t="shared" si="10"/>
        <v>8168.55</v>
      </c>
    </row>
    <row r="608" spans="2:7" hidden="1" outlineLevel="2">
      <c r="B608" s="330" t="s">
        <v>850</v>
      </c>
      <c r="C608" s="121" t="s">
        <v>144</v>
      </c>
      <c r="D608" s="332" t="s">
        <v>57</v>
      </c>
      <c r="E608" s="332">
        <v>190.03</v>
      </c>
      <c r="F608" s="325">
        <v>27.37</v>
      </c>
      <c r="G608" s="436">
        <f t="shared" si="10"/>
        <v>5201.12</v>
      </c>
    </row>
    <row r="609" spans="2:7" hidden="1" outlineLevel="2">
      <c r="B609" s="330" t="s">
        <v>851</v>
      </c>
      <c r="C609" s="121" t="s">
        <v>146</v>
      </c>
      <c r="D609" s="332" t="s">
        <v>57</v>
      </c>
      <c r="E609" s="332">
        <v>190.03</v>
      </c>
      <c r="F609" s="325">
        <v>27.37</v>
      </c>
      <c r="G609" s="436">
        <f t="shared" si="10"/>
        <v>5201.12</v>
      </c>
    </row>
    <row r="610" spans="2:7" ht="30" hidden="1" outlineLevel="2">
      <c r="B610" s="330" t="s">
        <v>852</v>
      </c>
      <c r="C610" s="121" t="s">
        <v>265</v>
      </c>
      <c r="D610" s="332" t="s">
        <v>57</v>
      </c>
      <c r="E610" s="332">
        <v>47.3</v>
      </c>
      <c r="F610" s="325">
        <v>27.37</v>
      </c>
      <c r="G610" s="436">
        <f t="shared" si="10"/>
        <v>1294.5999999999999</v>
      </c>
    </row>
    <row r="611" spans="2:7" ht="30" hidden="1" outlineLevel="2">
      <c r="B611" s="330" t="s">
        <v>853</v>
      </c>
      <c r="C611" s="121" t="s">
        <v>267</v>
      </c>
      <c r="D611" s="332" t="s">
        <v>57</v>
      </c>
      <c r="E611" s="332">
        <v>47.3</v>
      </c>
      <c r="F611" s="325">
        <v>27.37</v>
      </c>
      <c r="G611" s="436">
        <f t="shared" si="10"/>
        <v>1294.5999999999999</v>
      </c>
    </row>
    <row r="612" spans="2:7" ht="30" hidden="1" outlineLevel="2">
      <c r="B612" s="330" t="s">
        <v>854</v>
      </c>
      <c r="C612" s="121" t="s">
        <v>273</v>
      </c>
      <c r="D612" s="332" t="s">
        <v>57</v>
      </c>
      <c r="E612" s="332">
        <v>23.38</v>
      </c>
      <c r="F612" s="325">
        <v>27.37</v>
      </c>
      <c r="G612" s="436">
        <f t="shared" si="10"/>
        <v>639.91</v>
      </c>
    </row>
    <row r="613" spans="2:7" ht="30" hidden="1" outlineLevel="2">
      <c r="B613" s="330" t="s">
        <v>855</v>
      </c>
      <c r="C613" s="121" t="s">
        <v>275</v>
      </c>
      <c r="D613" s="332" t="s">
        <v>57</v>
      </c>
      <c r="E613" s="332">
        <v>23.38</v>
      </c>
      <c r="F613" s="325">
        <v>27.37</v>
      </c>
      <c r="G613" s="436">
        <f t="shared" si="10"/>
        <v>639.91</v>
      </c>
    </row>
    <row r="614" spans="2:7" hidden="1" outlineLevel="2">
      <c r="B614" s="330" t="s">
        <v>856</v>
      </c>
      <c r="C614" s="121" t="s">
        <v>156</v>
      </c>
      <c r="D614" s="332" t="s">
        <v>57</v>
      </c>
      <c r="E614" s="332">
        <v>605</v>
      </c>
      <c r="F614" s="325">
        <v>4.2699999999999996</v>
      </c>
      <c r="G614" s="436">
        <f t="shared" si="10"/>
        <v>2583.35</v>
      </c>
    </row>
    <row r="615" spans="2:7" hidden="1" outlineLevel="2">
      <c r="B615" s="331" t="s">
        <v>857</v>
      </c>
      <c r="C615" s="324" t="s">
        <v>162</v>
      </c>
      <c r="D615" s="332"/>
      <c r="E615" s="332"/>
      <c r="F615" s="325"/>
      <c r="G615" s="435">
        <f>+SUBTOTAL(9,G616)</f>
        <v>24285.35</v>
      </c>
    </row>
    <row r="616" spans="2:7" hidden="1" outlineLevel="2">
      <c r="B616" s="330" t="s">
        <v>858</v>
      </c>
      <c r="C616" s="121" t="s">
        <v>164</v>
      </c>
      <c r="D616" s="332" t="s">
        <v>64</v>
      </c>
      <c r="E616" s="332">
        <v>14.6</v>
      </c>
      <c r="F616" s="325">
        <v>1663.38</v>
      </c>
      <c r="G616" s="436">
        <f>ROUND(E616*F616,2)</f>
        <v>24285.35</v>
      </c>
    </row>
    <row r="617" spans="2:7" hidden="1" outlineLevel="2">
      <c r="B617" s="331" t="s">
        <v>859</v>
      </c>
      <c r="C617" s="324" t="s">
        <v>174</v>
      </c>
      <c r="D617" s="332"/>
      <c r="E617" s="332"/>
      <c r="F617" s="325"/>
      <c r="G617" s="435">
        <f>+SUBTOTAL(9,G618)</f>
        <v>1961.11</v>
      </c>
    </row>
    <row r="618" spans="2:7" hidden="1" outlineLevel="2">
      <c r="B618" s="330" t="s">
        <v>860</v>
      </c>
      <c r="C618" s="121" t="s">
        <v>296</v>
      </c>
      <c r="D618" s="332" t="s">
        <v>57</v>
      </c>
      <c r="E618" s="332">
        <v>190.03</v>
      </c>
      <c r="F618" s="325">
        <v>10.32</v>
      </c>
      <c r="G618" s="436">
        <f>ROUND(E618*F618,2)</f>
        <v>1961.11</v>
      </c>
    </row>
    <row r="619" spans="2:7" hidden="1" outlineLevel="2">
      <c r="B619" s="331" t="s">
        <v>861</v>
      </c>
      <c r="C619" s="324" t="s">
        <v>178</v>
      </c>
      <c r="D619" s="332"/>
      <c r="E619" s="332"/>
      <c r="F619" s="325"/>
      <c r="G619" s="435">
        <f>+SUBTOTAL(9,G620:G622)</f>
        <v>19216.899999999998</v>
      </c>
    </row>
    <row r="620" spans="2:7" ht="30" hidden="1" outlineLevel="2">
      <c r="B620" s="330" t="s">
        <v>862</v>
      </c>
      <c r="C620" s="121" t="s">
        <v>651</v>
      </c>
      <c r="D620" s="332" t="s">
        <v>69</v>
      </c>
      <c r="E620" s="332">
        <v>350</v>
      </c>
      <c r="F620" s="325">
        <v>48.95</v>
      </c>
      <c r="G620" s="436">
        <f>ROUND(E620*F620,2)</f>
        <v>17132.5</v>
      </c>
    </row>
    <row r="621" spans="2:7" hidden="1" outlineLevel="2">
      <c r="B621" s="330" t="s">
        <v>863</v>
      </c>
      <c r="C621" s="121" t="s">
        <v>182</v>
      </c>
      <c r="D621" s="332" t="s">
        <v>57</v>
      </c>
      <c r="E621" s="332">
        <v>414.97</v>
      </c>
      <c r="F621" s="325">
        <v>1.64</v>
      </c>
      <c r="G621" s="436">
        <f>ROUND(E621*F621,2)</f>
        <v>680.55</v>
      </c>
    </row>
    <row r="622" spans="2:7" hidden="1" outlineLevel="2">
      <c r="B622" s="330" t="s">
        <v>863</v>
      </c>
      <c r="C622" s="121" t="s">
        <v>183</v>
      </c>
      <c r="D622" s="332" t="s">
        <v>43</v>
      </c>
      <c r="E622" s="332">
        <v>49</v>
      </c>
      <c r="F622" s="325">
        <v>28.65</v>
      </c>
      <c r="G622" s="436">
        <f>ROUND(E622*F622,2)</f>
        <v>1403.85</v>
      </c>
    </row>
    <row r="623" spans="2:7" hidden="1" outlineLevel="2">
      <c r="B623" s="331" t="s">
        <v>864</v>
      </c>
      <c r="C623" s="324" t="s">
        <v>185</v>
      </c>
      <c r="D623" s="332"/>
      <c r="E623" s="332"/>
      <c r="F623" s="325"/>
      <c r="G623" s="435">
        <f>+SUBTOTAL(9,G624:G625)</f>
        <v>11844.939999999999</v>
      </c>
    </row>
    <row r="624" spans="2:7" hidden="1" outlineLevel="2">
      <c r="B624" s="330" t="s">
        <v>865</v>
      </c>
      <c r="C624" s="121" t="s">
        <v>191</v>
      </c>
      <c r="D624" s="332" t="s">
        <v>64</v>
      </c>
      <c r="E624" s="332">
        <v>160.19999999999999</v>
      </c>
      <c r="F624" s="325">
        <v>38.380000000000003</v>
      </c>
      <c r="G624" s="436">
        <f>ROUND(E624*F624,2)</f>
        <v>6148.48</v>
      </c>
    </row>
    <row r="625" spans="2:7" hidden="1" outlineLevel="2">
      <c r="B625" s="330" t="s">
        <v>866</v>
      </c>
      <c r="C625" s="121" t="s">
        <v>193</v>
      </c>
      <c r="D625" s="332" t="s">
        <v>57</v>
      </c>
      <c r="E625" s="332">
        <v>554.66999999999996</v>
      </c>
      <c r="F625" s="325">
        <v>10.27</v>
      </c>
      <c r="G625" s="436">
        <f>ROUND(E625*F625,2)</f>
        <v>5696.46</v>
      </c>
    </row>
    <row r="626" spans="2:7" hidden="1" outlineLevel="1" collapsed="1">
      <c r="B626" s="331" t="s">
        <v>867</v>
      </c>
      <c r="C626" s="324" t="s">
        <v>868</v>
      </c>
      <c r="D626" s="332"/>
      <c r="E626" s="332"/>
      <c r="F626" s="325"/>
      <c r="G626" s="435">
        <f>+SUBTOTAL(9,G627:G679)</f>
        <v>151125.43000000008</v>
      </c>
    </row>
    <row r="627" spans="2:7" hidden="1" outlineLevel="2">
      <c r="B627" s="331" t="s">
        <v>869</v>
      </c>
      <c r="C627" s="324" t="s">
        <v>79</v>
      </c>
      <c r="D627" s="332"/>
      <c r="E627" s="332"/>
      <c r="F627" s="325"/>
      <c r="G627" s="435">
        <f>+SUBTOTAL(9,G628:G631)</f>
        <v>5637.8</v>
      </c>
    </row>
    <row r="628" spans="2:7" hidden="1" outlineLevel="2">
      <c r="B628" s="330" t="s">
        <v>870</v>
      </c>
      <c r="C628" s="121" t="s">
        <v>210</v>
      </c>
      <c r="D628" s="332" t="s">
        <v>69</v>
      </c>
      <c r="E628" s="332">
        <v>1.64</v>
      </c>
      <c r="F628" s="325">
        <v>482.43</v>
      </c>
      <c r="G628" s="436">
        <f>ROUND(E628*F628,2)</f>
        <v>791.19</v>
      </c>
    </row>
    <row r="629" spans="2:7" hidden="1" outlineLevel="2">
      <c r="B629" s="330" t="s">
        <v>871</v>
      </c>
      <c r="C629" s="121" t="s">
        <v>212</v>
      </c>
      <c r="D629" s="332" t="s">
        <v>57</v>
      </c>
      <c r="E629" s="332">
        <v>13.31</v>
      </c>
      <c r="F629" s="325">
        <v>45</v>
      </c>
      <c r="G629" s="436">
        <f>ROUND(E629*F629,2)</f>
        <v>598.95000000000005</v>
      </c>
    </row>
    <row r="630" spans="2:7" hidden="1" outlineLevel="2">
      <c r="B630" s="330" t="s">
        <v>872</v>
      </c>
      <c r="C630" s="121" t="s">
        <v>214</v>
      </c>
      <c r="D630" s="332" t="s">
        <v>69</v>
      </c>
      <c r="E630" s="332">
        <v>6.13</v>
      </c>
      <c r="F630" s="325">
        <v>571.69000000000005</v>
      </c>
      <c r="G630" s="436">
        <f>ROUND(E630*F630,2)</f>
        <v>3504.46</v>
      </c>
    </row>
    <row r="631" spans="2:7" hidden="1" outlineLevel="2">
      <c r="B631" s="330" t="s">
        <v>873</v>
      </c>
      <c r="C631" s="121" t="s">
        <v>216</v>
      </c>
      <c r="D631" s="332" t="s">
        <v>57</v>
      </c>
      <c r="E631" s="332">
        <v>16.75</v>
      </c>
      <c r="F631" s="325">
        <v>44.37</v>
      </c>
      <c r="G631" s="436">
        <f>ROUND(E631*F631,2)</f>
        <v>743.2</v>
      </c>
    </row>
    <row r="632" spans="2:7" hidden="1" outlineLevel="2">
      <c r="B632" s="331" t="s">
        <v>874</v>
      </c>
      <c r="C632" s="324" t="s">
        <v>85</v>
      </c>
      <c r="D632" s="332"/>
      <c r="E632" s="332"/>
      <c r="F632" s="325"/>
      <c r="G632" s="435">
        <f>+SUBTOTAL(9,G633:G648)</f>
        <v>97569.73000000001</v>
      </c>
    </row>
    <row r="633" spans="2:7" hidden="1" outlineLevel="2">
      <c r="B633" s="331" t="s">
        <v>875</v>
      </c>
      <c r="C633" s="324" t="s">
        <v>227</v>
      </c>
      <c r="D633" s="332"/>
      <c r="E633" s="332"/>
      <c r="F633" s="325"/>
      <c r="G633" s="435">
        <f>+SUBTOTAL(9,G634:G636)</f>
        <v>18026.489999999998</v>
      </c>
    </row>
    <row r="634" spans="2:7" hidden="1" outlineLevel="2">
      <c r="B634" s="330" t="s">
        <v>876</v>
      </c>
      <c r="C634" s="121" t="s">
        <v>877</v>
      </c>
      <c r="D634" s="332" t="s">
        <v>69</v>
      </c>
      <c r="E634" s="332">
        <v>8.5500000000000007</v>
      </c>
      <c r="F634" s="325">
        <v>487.2</v>
      </c>
      <c r="G634" s="436">
        <f>ROUND(E634*F634,2)</f>
        <v>4165.5600000000004</v>
      </c>
    </row>
    <row r="635" spans="2:7" hidden="1" outlineLevel="2">
      <c r="B635" s="330" t="s">
        <v>878</v>
      </c>
      <c r="C635" s="121" t="s">
        <v>231</v>
      </c>
      <c r="D635" s="332" t="s">
        <v>57</v>
      </c>
      <c r="E635" s="332">
        <v>78.3</v>
      </c>
      <c r="F635" s="325">
        <v>65.900000000000006</v>
      </c>
      <c r="G635" s="436">
        <f>ROUND(E635*F635,2)</f>
        <v>5159.97</v>
      </c>
    </row>
    <row r="636" spans="2:7" hidden="1" outlineLevel="2">
      <c r="B636" s="330" t="s">
        <v>879</v>
      </c>
      <c r="C636" s="121" t="s">
        <v>233</v>
      </c>
      <c r="D636" s="332" t="s">
        <v>94</v>
      </c>
      <c r="E636" s="327">
        <v>1163.23</v>
      </c>
      <c r="F636" s="325">
        <v>7.48</v>
      </c>
      <c r="G636" s="436">
        <f>ROUND(E636*F636,2)</f>
        <v>8700.9599999999991</v>
      </c>
    </row>
    <row r="637" spans="2:7" hidden="1" outlineLevel="2">
      <c r="B637" s="331" t="s">
        <v>880</v>
      </c>
      <c r="C637" s="324" t="s">
        <v>235</v>
      </c>
      <c r="D637" s="332"/>
      <c r="E637" s="332"/>
      <c r="F637" s="325"/>
      <c r="G637" s="435">
        <f>+SUBTOTAL(9,G638:G640)</f>
        <v>47906.53</v>
      </c>
    </row>
    <row r="638" spans="2:7" hidden="1" outlineLevel="2">
      <c r="B638" s="330" t="s">
        <v>881</v>
      </c>
      <c r="C638" s="121" t="s">
        <v>104</v>
      </c>
      <c r="D638" s="332" t="s">
        <v>69</v>
      </c>
      <c r="E638" s="332">
        <v>22.31</v>
      </c>
      <c r="F638" s="325">
        <v>479.71</v>
      </c>
      <c r="G638" s="436">
        <f>ROUND(E638*F638,2)</f>
        <v>10702.33</v>
      </c>
    </row>
    <row r="639" spans="2:7" hidden="1" outlineLevel="2">
      <c r="B639" s="330" t="s">
        <v>882</v>
      </c>
      <c r="C639" s="121" t="s">
        <v>106</v>
      </c>
      <c r="D639" s="332" t="s">
        <v>57</v>
      </c>
      <c r="E639" s="332">
        <v>223.08</v>
      </c>
      <c r="F639" s="325">
        <v>64.8</v>
      </c>
      <c r="G639" s="436">
        <f>ROUND(E639*F639,2)</f>
        <v>14455.58</v>
      </c>
    </row>
    <row r="640" spans="2:7" hidden="1" outlineLevel="2">
      <c r="B640" s="330" t="s">
        <v>883</v>
      </c>
      <c r="C640" s="121" t="s">
        <v>108</v>
      </c>
      <c r="D640" s="332" t="s">
        <v>94</v>
      </c>
      <c r="E640" s="327">
        <v>3029.11</v>
      </c>
      <c r="F640" s="325">
        <v>7.51</v>
      </c>
      <c r="G640" s="436">
        <f>ROUND(E640*F640,2)</f>
        <v>22748.62</v>
      </c>
    </row>
    <row r="641" spans="2:7" hidden="1" outlineLevel="2">
      <c r="B641" s="331" t="s">
        <v>884</v>
      </c>
      <c r="C641" s="324" t="s">
        <v>241</v>
      </c>
      <c r="D641" s="332"/>
      <c r="E641" s="332"/>
      <c r="F641" s="325"/>
      <c r="G641" s="435">
        <f>+SUBTOTAL(9,G642:G644)</f>
        <v>14520.099999999999</v>
      </c>
    </row>
    <row r="642" spans="2:7" hidden="1" outlineLevel="2">
      <c r="B642" s="330" t="s">
        <v>885</v>
      </c>
      <c r="C642" s="121" t="s">
        <v>120</v>
      </c>
      <c r="D642" s="332" t="s">
        <v>69</v>
      </c>
      <c r="E642" s="332">
        <v>8.14</v>
      </c>
      <c r="F642" s="325">
        <v>485.11</v>
      </c>
      <c r="G642" s="436">
        <f>ROUND(E642*F642,2)</f>
        <v>3948.8</v>
      </c>
    </row>
    <row r="643" spans="2:7" hidden="1" outlineLevel="2">
      <c r="B643" s="330" t="s">
        <v>886</v>
      </c>
      <c r="C643" s="121" t="s">
        <v>122</v>
      </c>
      <c r="D643" s="332" t="s">
        <v>57</v>
      </c>
      <c r="E643" s="332">
        <v>50.27</v>
      </c>
      <c r="F643" s="325">
        <v>75.39</v>
      </c>
      <c r="G643" s="436">
        <f>ROUND(E643*F643,2)</f>
        <v>3789.86</v>
      </c>
    </row>
    <row r="644" spans="2:7" hidden="1" outlineLevel="2">
      <c r="B644" s="330" t="s">
        <v>887</v>
      </c>
      <c r="C644" s="121" t="s">
        <v>336</v>
      </c>
      <c r="D644" s="332" t="s">
        <v>94</v>
      </c>
      <c r="E644" s="332">
        <v>906.61</v>
      </c>
      <c r="F644" s="325">
        <v>7.48</v>
      </c>
      <c r="G644" s="436">
        <f>ROUND(E644*F644,2)</f>
        <v>6781.44</v>
      </c>
    </row>
    <row r="645" spans="2:7" hidden="1" outlineLevel="2">
      <c r="B645" s="331" t="s">
        <v>888</v>
      </c>
      <c r="C645" s="324" t="s">
        <v>695</v>
      </c>
      <c r="D645" s="332"/>
      <c r="E645" s="332"/>
      <c r="F645" s="325"/>
      <c r="G645" s="435">
        <f>+SUBTOTAL(9,G646:G648)</f>
        <v>17116.61</v>
      </c>
    </row>
    <row r="646" spans="2:7" hidden="1" outlineLevel="2">
      <c r="B646" s="330" t="s">
        <v>889</v>
      </c>
      <c r="C646" s="121" t="s">
        <v>842</v>
      </c>
      <c r="D646" s="332" t="s">
        <v>69</v>
      </c>
      <c r="E646" s="332">
        <v>10.81</v>
      </c>
      <c r="F646" s="325">
        <v>476.71</v>
      </c>
      <c r="G646" s="436">
        <f>ROUND(E646*F646,2)</f>
        <v>5153.24</v>
      </c>
    </row>
    <row r="647" spans="2:7" hidden="1" outlineLevel="2">
      <c r="B647" s="330" t="s">
        <v>890</v>
      </c>
      <c r="C647" s="121" t="s">
        <v>252</v>
      </c>
      <c r="D647" s="332" t="s">
        <v>57</v>
      </c>
      <c r="E647" s="332">
        <v>57.69</v>
      </c>
      <c r="F647" s="325">
        <v>60.67</v>
      </c>
      <c r="G647" s="436">
        <f>ROUND(E647*F647,2)</f>
        <v>3500.05</v>
      </c>
    </row>
    <row r="648" spans="2:7" hidden="1" outlineLevel="2">
      <c r="B648" s="330" t="s">
        <v>891</v>
      </c>
      <c r="C648" s="121" t="s">
        <v>254</v>
      </c>
      <c r="D648" s="332" t="s">
        <v>94</v>
      </c>
      <c r="E648" s="327">
        <v>1131.46</v>
      </c>
      <c r="F648" s="325">
        <v>7.48</v>
      </c>
      <c r="G648" s="436">
        <f>ROUND(E648*F648,2)</f>
        <v>8463.32</v>
      </c>
    </row>
    <row r="649" spans="2:7" hidden="1" outlineLevel="2">
      <c r="B649" s="331" t="s">
        <v>892</v>
      </c>
      <c r="C649" s="324" t="s">
        <v>134</v>
      </c>
      <c r="D649" s="332"/>
      <c r="E649" s="332"/>
      <c r="F649" s="325"/>
      <c r="G649" s="435">
        <f>+SUBTOTAL(9,G650:G661)</f>
        <v>23316.360000000008</v>
      </c>
    </row>
    <row r="650" spans="2:7" ht="30" hidden="1" outlineLevel="2">
      <c r="B650" s="330" t="s">
        <v>893</v>
      </c>
      <c r="C650" s="121" t="s">
        <v>257</v>
      </c>
      <c r="D650" s="332" t="s">
        <v>57</v>
      </c>
      <c r="E650" s="332">
        <v>153.1</v>
      </c>
      <c r="F650" s="325">
        <v>27.37</v>
      </c>
      <c r="G650" s="436">
        <f t="shared" ref="G650:G661" si="11">ROUND(E650*F650,2)</f>
        <v>4190.3500000000004</v>
      </c>
    </row>
    <row r="651" spans="2:7" ht="30" hidden="1" outlineLevel="2">
      <c r="B651" s="330" t="s">
        <v>894</v>
      </c>
      <c r="C651" s="121" t="s">
        <v>259</v>
      </c>
      <c r="D651" s="332" t="s">
        <v>57</v>
      </c>
      <c r="E651" s="332">
        <v>153.1</v>
      </c>
      <c r="F651" s="325">
        <v>27.37</v>
      </c>
      <c r="G651" s="436">
        <f t="shared" si="11"/>
        <v>4190.3500000000004</v>
      </c>
    </row>
    <row r="652" spans="2:7" ht="30" hidden="1" outlineLevel="2">
      <c r="B652" s="330" t="s">
        <v>895</v>
      </c>
      <c r="C652" s="121" t="s">
        <v>261</v>
      </c>
      <c r="D652" s="332" t="s">
        <v>57</v>
      </c>
      <c r="E652" s="332">
        <v>145.31</v>
      </c>
      <c r="F652" s="325">
        <v>27.37</v>
      </c>
      <c r="G652" s="436">
        <f t="shared" si="11"/>
        <v>3977.13</v>
      </c>
    </row>
    <row r="653" spans="2:7" ht="30" hidden="1" outlineLevel="2">
      <c r="B653" s="330" t="s">
        <v>896</v>
      </c>
      <c r="C653" s="121" t="s">
        <v>263</v>
      </c>
      <c r="D653" s="332" t="s">
        <v>57</v>
      </c>
      <c r="E653" s="332">
        <v>145.31</v>
      </c>
      <c r="F653" s="325">
        <v>27.37</v>
      </c>
      <c r="G653" s="436">
        <f t="shared" si="11"/>
        <v>3977.13</v>
      </c>
    </row>
    <row r="654" spans="2:7" ht="30" hidden="1" outlineLevel="2">
      <c r="B654" s="330" t="s">
        <v>897</v>
      </c>
      <c r="C654" s="121" t="s">
        <v>265</v>
      </c>
      <c r="D654" s="332" t="s">
        <v>57</v>
      </c>
      <c r="E654" s="332">
        <v>57.69</v>
      </c>
      <c r="F654" s="325">
        <v>27.37</v>
      </c>
      <c r="G654" s="436">
        <f t="shared" si="11"/>
        <v>1578.98</v>
      </c>
    </row>
    <row r="655" spans="2:7" ht="30" hidden="1" outlineLevel="2">
      <c r="B655" s="330" t="s">
        <v>898</v>
      </c>
      <c r="C655" s="121" t="s">
        <v>267</v>
      </c>
      <c r="D655" s="332" t="s">
        <v>57</v>
      </c>
      <c r="E655" s="332">
        <v>57.69</v>
      </c>
      <c r="F655" s="325">
        <v>27.37</v>
      </c>
      <c r="G655" s="436">
        <f t="shared" si="11"/>
        <v>1578.98</v>
      </c>
    </row>
    <row r="656" spans="2:7" ht="30" hidden="1" outlineLevel="2">
      <c r="B656" s="330" t="s">
        <v>899</v>
      </c>
      <c r="C656" s="121" t="s">
        <v>269</v>
      </c>
      <c r="D656" s="332" t="s">
        <v>57</v>
      </c>
      <c r="E656" s="332">
        <v>3.62</v>
      </c>
      <c r="F656" s="325">
        <v>27.37</v>
      </c>
      <c r="G656" s="436">
        <f t="shared" si="11"/>
        <v>99.08</v>
      </c>
    </row>
    <row r="657" spans="2:7" ht="30" hidden="1" outlineLevel="2">
      <c r="B657" s="330" t="s">
        <v>900</v>
      </c>
      <c r="C657" s="121" t="s">
        <v>271</v>
      </c>
      <c r="D657" s="332" t="s">
        <v>57</v>
      </c>
      <c r="E657" s="332">
        <v>3.62</v>
      </c>
      <c r="F657" s="325">
        <v>27.37</v>
      </c>
      <c r="G657" s="436">
        <f t="shared" si="11"/>
        <v>99.08</v>
      </c>
    </row>
    <row r="658" spans="2:7" ht="30" hidden="1" outlineLevel="2">
      <c r="B658" s="330" t="s">
        <v>901</v>
      </c>
      <c r="C658" s="121" t="s">
        <v>273</v>
      </c>
      <c r="D658" s="332" t="s">
        <v>57</v>
      </c>
      <c r="E658" s="332">
        <v>23.38</v>
      </c>
      <c r="F658" s="325">
        <v>27.37</v>
      </c>
      <c r="G658" s="436">
        <f t="shared" si="11"/>
        <v>639.91</v>
      </c>
    </row>
    <row r="659" spans="2:7" ht="30" hidden="1" outlineLevel="2">
      <c r="B659" s="330" t="s">
        <v>902</v>
      </c>
      <c r="C659" s="121" t="s">
        <v>275</v>
      </c>
      <c r="D659" s="332" t="s">
        <v>57</v>
      </c>
      <c r="E659" s="332">
        <v>23.38</v>
      </c>
      <c r="F659" s="325">
        <v>27.37</v>
      </c>
      <c r="G659" s="436">
        <f t="shared" si="11"/>
        <v>639.91</v>
      </c>
    </row>
    <row r="660" spans="2:7" hidden="1" outlineLevel="2">
      <c r="B660" s="330" t="s">
        <v>903</v>
      </c>
      <c r="C660" s="121" t="s">
        <v>277</v>
      </c>
      <c r="D660" s="332" t="s">
        <v>64</v>
      </c>
      <c r="E660" s="332">
        <v>20.14</v>
      </c>
      <c r="F660" s="325">
        <v>17.440000000000001</v>
      </c>
      <c r="G660" s="436">
        <f t="shared" si="11"/>
        <v>351.24</v>
      </c>
    </row>
    <row r="661" spans="2:7" hidden="1" outlineLevel="2">
      <c r="B661" s="330" t="s">
        <v>904</v>
      </c>
      <c r="C661" s="121" t="s">
        <v>279</v>
      </c>
      <c r="D661" s="332" t="s">
        <v>57</v>
      </c>
      <c r="E661" s="332">
        <v>467.03</v>
      </c>
      <c r="F661" s="325">
        <v>4.2699999999999996</v>
      </c>
      <c r="G661" s="436">
        <f t="shared" si="11"/>
        <v>1994.22</v>
      </c>
    </row>
    <row r="662" spans="2:7" hidden="1" outlineLevel="2">
      <c r="B662" s="331" t="s">
        <v>905</v>
      </c>
      <c r="C662" s="324" t="s">
        <v>158</v>
      </c>
      <c r="D662" s="332"/>
      <c r="E662" s="332"/>
      <c r="F662" s="325"/>
      <c r="G662" s="435">
        <f>+SUBTOTAL(9,G663)</f>
        <v>1499.3</v>
      </c>
    </row>
    <row r="663" spans="2:7" hidden="1" outlineLevel="2">
      <c r="B663" s="330" t="s">
        <v>906</v>
      </c>
      <c r="C663" s="121" t="s">
        <v>282</v>
      </c>
      <c r="D663" s="332" t="s">
        <v>57</v>
      </c>
      <c r="E663" s="332">
        <v>58.09</v>
      </c>
      <c r="F663" s="325">
        <v>25.81</v>
      </c>
      <c r="G663" s="436">
        <f>ROUND(E663*F663,2)</f>
        <v>1499.3</v>
      </c>
    </row>
    <row r="664" spans="2:7" hidden="1" outlineLevel="2">
      <c r="B664" s="331" t="s">
        <v>907</v>
      </c>
      <c r="C664" s="324" t="s">
        <v>162</v>
      </c>
      <c r="D664" s="332"/>
      <c r="E664" s="332"/>
      <c r="F664" s="325"/>
      <c r="G664" s="435">
        <f>+SUBTOTAL(9,G665:G670)</f>
        <v>14054.86</v>
      </c>
    </row>
    <row r="665" spans="2:7" hidden="1" outlineLevel="2">
      <c r="B665" s="330" t="s">
        <v>908</v>
      </c>
      <c r="C665" s="121" t="s">
        <v>286</v>
      </c>
      <c r="D665" s="332" t="s">
        <v>287</v>
      </c>
      <c r="E665" s="332">
        <v>1</v>
      </c>
      <c r="F665" s="325">
        <v>3753</v>
      </c>
      <c r="G665" s="436">
        <f t="shared" ref="G665:G670" si="12">ROUND(E665*F665,2)</f>
        <v>3753</v>
      </c>
    </row>
    <row r="666" spans="2:7" hidden="1" outlineLevel="2">
      <c r="B666" s="330" t="s">
        <v>909</v>
      </c>
      <c r="C666" s="121" t="s">
        <v>367</v>
      </c>
      <c r="D666" s="332" t="s">
        <v>287</v>
      </c>
      <c r="E666" s="332">
        <v>1</v>
      </c>
      <c r="F666" s="325">
        <v>3753</v>
      </c>
      <c r="G666" s="436">
        <f t="shared" si="12"/>
        <v>3753</v>
      </c>
    </row>
    <row r="667" spans="2:7" hidden="1" outlineLevel="2">
      <c r="B667" s="330" t="s">
        <v>910</v>
      </c>
      <c r="C667" s="121" t="s">
        <v>289</v>
      </c>
      <c r="D667" s="332" t="s">
        <v>57</v>
      </c>
      <c r="E667" s="332">
        <v>1.63</v>
      </c>
      <c r="F667" s="325">
        <v>815.11</v>
      </c>
      <c r="G667" s="436">
        <f t="shared" si="12"/>
        <v>1328.63</v>
      </c>
    </row>
    <row r="668" spans="2:7" hidden="1" outlineLevel="2">
      <c r="B668" s="330" t="s">
        <v>911</v>
      </c>
      <c r="C668" s="121" t="s">
        <v>912</v>
      </c>
      <c r="D668" s="332" t="s">
        <v>57</v>
      </c>
      <c r="E668" s="332">
        <v>1.63</v>
      </c>
      <c r="F668" s="325">
        <v>481.07</v>
      </c>
      <c r="G668" s="436">
        <f t="shared" si="12"/>
        <v>784.14</v>
      </c>
    </row>
    <row r="669" spans="2:7" hidden="1" outlineLevel="2">
      <c r="B669" s="330" t="s">
        <v>913</v>
      </c>
      <c r="C669" s="121" t="s">
        <v>291</v>
      </c>
      <c r="D669" s="332" t="s">
        <v>64</v>
      </c>
      <c r="E669" s="332">
        <v>4.5</v>
      </c>
      <c r="F669" s="325">
        <v>744.18</v>
      </c>
      <c r="G669" s="436">
        <f t="shared" si="12"/>
        <v>3348.81</v>
      </c>
    </row>
    <row r="670" spans="2:7" ht="30" hidden="1" outlineLevel="2">
      <c r="B670" s="330" t="s">
        <v>914</v>
      </c>
      <c r="C670" s="121" t="s">
        <v>915</v>
      </c>
      <c r="D670" s="332" t="s">
        <v>43</v>
      </c>
      <c r="E670" s="332">
        <v>1</v>
      </c>
      <c r="F670" s="325">
        <v>1087.28</v>
      </c>
      <c r="G670" s="436">
        <f t="shared" si="12"/>
        <v>1087.28</v>
      </c>
    </row>
    <row r="671" spans="2:7" hidden="1" outlineLevel="2">
      <c r="B671" s="331" t="s">
        <v>916</v>
      </c>
      <c r="C671" s="324" t="s">
        <v>174</v>
      </c>
      <c r="D671" s="332"/>
      <c r="E671" s="332"/>
      <c r="F671" s="325"/>
      <c r="G671" s="435">
        <f>+SUBTOTAL(9,G672:G675)</f>
        <v>4047.69</v>
      </c>
    </row>
    <row r="672" spans="2:7" hidden="1" outlineLevel="2">
      <c r="B672" s="330" t="s">
        <v>917</v>
      </c>
      <c r="C672" s="121" t="s">
        <v>294</v>
      </c>
      <c r="D672" s="332" t="s">
        <v>57</v>
      </c>
      <c r="E672" s="332">
        <v>153.1</v>
      </c>
      <c r="F672" s="325">
        <v>9.8000000000000007</v>
      </c>
      <c r="G672" s="436">
        <f>ROUND(E672*F672,2)</f>
        <v>1500.38</v>
      </c>
    </row>
    <row r="673" spans="2:7" hidden="1" outlineLevel="2">
      <c r="B673" s="330" t="s">
        <v>918</v>
      </c>
      <c r="C673" s="121" t="s">
        <v>296</v>
      </c>
      <c r="D673" s="332" t="s">
        <v>57</v>
      </c>
      <c r="E673" s="332">
        <v>145.31</v>
      </c>
      <c r="F673" s="325">
        <v>10.32</v>
      </c>
      <c r="G673" s="436">
        <f>ROUND(E673*F673,2)</f>
        <v>1499.6</v>
      </c>
    </row>
    <row r="674" spans="2:7" hidden="1" outlineLevel="2">
      <c r="B674" s="330" t="s">
        <v>919</v>
      </c>
      <c r="C674" s="121" t="s">
        <v>298</v>
      </c>
      <c r="D674" s="332" t="s">
        <v>57</v>
      </c>
      <c r="E674" s="332">
        <v>84.69</v>
      </c>
      <c r="F674" s="325">
        <v>12.19</v>
      </c>
      <c r="G674" s="436">
        <f>ROUND(E674*F674,2)</f>
        <v>1032.3699999999999</v>
      </c>
    </row>
    <row r="675" spans="2:7" hidden="1" outlineLevel="2">
      <c r="B675" s="330" t="s">
        <v>920</v>
      </c>
      <c r="C675" s="121" t="s">
        <v>921</v>
      </c>
      <c r="D675" s="332" t="s">
        <v>57</v>
      </c>
      <c r="E675" s="332">
        <v>1.63</v>
      </c>
      <c r="F675" s="325">
        <v>9.41</v>
      </c>
      <c r="G675" s="436">
        <f>ROUND(E675*F675,2)</f>
        <v>15.34</v>
      </c>
    </row>
    <row r="676" spans="2:7" hidden="1" outlineLevel="2">
      <c r="B676" s="331" t="s">
        <v>922</v>
      </c>
      <c r="C676" s="324" t="s">
        <v>178</v>
      </c>
      <c r="D676" s="332"/>
      <c r="E676" s="332"/>
      <c r="F676" s="325"/>
      <c r="G676" s="435">
        <f>+SUBTOTAL(9,G677)</f>
        <v>487.05</v>
      </c>
    </row>
    <row r="677" spans="2:7" hidden="1" outlineLevel="2">
      <c r="B677" s="330" t="s">
        <v>923</v>
      </c>
      <c r="C677" s="121" t="s">
        <v>183</v>
      </c>
      <c r="D677" s="332" t="s">
        <v>43</v>
      </c>
      <c r="E677" s="332">
        <v>17</v>
      </c>
      <c r="F677" s="325">
        <v>28.65</v>
      </c>
      <c r="G677" s="436">
        <f>ROUND(E677*F677,2)</f>
        <v>487.05</v>
      </c>
    </row>
    <row r="678" spans="2:7" hidden="1" outlineLevel="2">
      <c r="B678" s="331" t="s">
        <v>924</v>
      </c>
      <c r="C678" s="324" t="s">
        <v>185</v>
      </c>
      <c r="D678" s="332"/>
      <c r="E678" s="332"/>
      <c r="F678" s="325"/>
      <c r="G678" s="435">
        <f>+SUBTOTAL(9,G679)</f>
        <v>4512.6400000000003</v>
      </c>
    </row>
    <row r="679" spans="2:7" hidden="1" outlineLevel="2">
      <c r="B679" s="330" t="s">
        <v>923</v>
      </c>
      <c r="C679" s="121" t="s">
        <v>193</v>
      </c>
      <c r="D679" s="332" t="s">
        <v>57</v>
      </c>
      <c r="E679" s="332">
        <v>439.4</v>
      </c>
      <c r="F679" s="325">
        <v>10.27</v>
      </c>
      <c r="G679" s="436">
        <f>ROUND(E679*F679,2)</f>
        <v>4512.6400000000003</v>
      </c>
    </row>
    <row r="680" spans="2:7" hidden="1" outlineLevel="1" collapsed="1">
      <c r="B680" s="331" t="s">
        <v>925</v>
      </c>
      <c r="C680" s="324" t="s">
        <v>926</v>
      </c>
      <c r="D680" s="332"/>
      <c r="E680" s="332"/>
      <c r="F680" s="325"/>
      <c r="G680" s="435">
        <f>+SUBTOTAL(9,G681:G711)</f>
        <v>13000.25</v>
      </c>
    </row>
    <row r="681" spans="2:7" hidden="1" outlineLevel="2">
      <c r="B681" s="331" t="s">
        <v>927</v>
      </c>
      <c r="C681" s="324" t="s">
        <v>54</v>
      </c>
      <c r="D681" s="332"/>
      <c r="E681" s="332"/>
      <c r="F681" s="325"/>
      <c r="G681" s="435">
        <f>+SUBTOTAL(9,G682:G683)</f>
        <v>569.03</v>
      </c>
    </row>
    <row r="682" spans="2:7" hidden="1" outlineLevel="2">
      <c r="B682" s="330" t="s">
        <v>928</v>
      </c>
      <c r="C682" s="121" t="s">
        <v>56</v>
      </c>
      <c r="D682" s="332" t="s">
        <v>57</v>
      </c>
      <c r="E682" s="332">
        <v>4.28</v>
      </c>
      <c r="F682" s="325">
        <v>68.64</v>
      </c>
      <c r="G682" s="436">
        <f>ROUND(E682*F682,2)</f>
        <v>293.77999999999997</v>
      </c>
    </row>
    <row r="683" spans="2:7" hidden="1" outlineLevel="2">
      <c r="B683" s="330" t="s">
        <v>929</v>
      </c>
      <c r="C683" s="121" t="s">
        <v>199</v>
      </c>
      <c r="D683" s="332" t="s">
        <v>57</v>
      </c>
      <c r="E683" s="332">
        <v>4.28</v>
      </c>
      <c r="F683" s="325">
        <v>64.31</v>
      </c>
      <c r="G683" s="436">
        <f>ROUND(E683*F683,2)</f>
        <v>275.25</v>
      </c>
    </row>
    <row r="684" spans="2:7" hidden="1" outlineLevel="2">
      <c r="B684" s="331" t="s">
        <v>930</v>
      </c>
      <c r="C684" s="324" t="s">
        <v>66</v>
      </c>
      <c r="D684" s="332"/>
      <c r="E684" s="332"/>
      <c r="F684" s="325"/>
      <c r="G684" s="435">
        <f>+SUBTOTAL(9,G685:G687)</f>
        <v>3370.0899999999997</v>
      </c>
    </row>
    <row r="685" spans="2:7" hidden="1" outlineLevel="2">
      <c r="B685" s="330" t="s">
        <v>931</v>
      </c>
      <c r="C685" s="121" t="s">
        <v>457</v>
      </c>
      <c r="D685" s="332" t="s">
        <v>69</v>
      </c>
      <c r="E685" s="332">
        <v>9.83</v>
      </c>
      <c r="F685" s="325">
        <v>323.01</v>
      </c>
      <c r="G685" s="436">
        <f>ROUND(E685*F685,2)</f>
        <v>3175.19</v>
      </c>
    </row>
    <row r="686" spans="2:7" hidden="1" outlineLevel="2">
      <c r="B686" s="330" t="s">
        <v>932</v>
      </c>
      <c r="C686" s="121" t="s">
        <v>73</v>
      </c>
      <c r="D686" s="332" t="s">
        <v>57</v>
      </c>
      <c r="E686" s="332">
        <v>4.28</v>
      </c>
      <c r="F686" s="325">
        <v>14.12</v>
      </c>
      <c r="G686" s="436">
        <f>ROUND(E686*F686,2)</f>
        <v>60.43</v>
      </c>
    </row>
    <row r="687" spans="2:7" hidden="1" outlineLevel="2">
      <c r="B687" s="330" t="s">
        <v>933</v>
      </c>
      <c r="C687" s="121" t="s">
        <v>77</v>
      </c>
      <c r="D687" s="332" t="s">
        <v>69</v>
      </c>
      <c r="E687" s="332">
        <v>9.83</v>
      </c>
      <c r="F687" s="325">
        <v>13.68</v>
      </c>
      <c r="G687" s="436">
        <f>ROUND(E687*F687,2)</f>
        <v>134.47</v>
      </c>
    </row>
    <row r="688" spans="2:7" hidden="1" outlineLevel="2">
      <c r="B688" s="331" t="s">
        <v>934</v>
      </c>
      <c r="C688" s="324" t="s">
        <v>79</v>
      </c>
      <c r="D688" s="332"/>
      <c r="E688" s="332"/>
      <c r="F688" s="325"/>
      <c r="G688" s="435">
        <f>+SUBTOTAL(9,G689)</f>
        <v>171.41</v>
      </c>
    </row>
    <row r="689" spans="2:7" hidden="1" outlineLevel="2">
      <c r="B689" s="330" t="s">
        <v>935</v>
      </c>
      <c r="C689" s="121" t="s">
        <v>81</v>
      </c>
      <c r="D689" s="332" t="s">
        <v>69</v>
      </c>
      <c r="E689" s="332">
        <v>0.43</v>
      </c>
      <c r="F689" s="325">
        <v>398.62</v>
      </c>
      <c r="G689" s="436">
        <f>ROUND(E689*F689,2)</f>
        <v>171.41</v>
      </c>
    </row>
    <row r="690" spans="2:7" hidden="1" outlineLevel="2">
      <c r="B690" s="331" t="s">
        <v>936</v>
      </c>
      <c r="C690" s="324" t="s">
        <v>85</v>
      </c>
      <c r="D690" s="332"/>
      <c r="E690" s="332"/>
      <c r="F690" s="325"/>
      <c r="G690" s="435">
        <f>+SUBTOTAL(9,G691:G701)</f>
        <v>6143.37</v>
      </c>
    </row>
    <row r="691" spans="2:7" hidden="1" outlineLevel="2">
      <c r="B691" s="331" t="s">
        <v>937</v>
      </c>
      <c r="C691" s="324" t="s">
        <v>96</v>
      </c>
      <c r="D691" s="332"/>
      <c r="E691" s="332"/>
      <c r="F691" s="325"/>
      <c r="G691" s="435">
        <f>+SUBTOTAL(9,G692:G693)</f>
        <v>865.21</v>
      </c>
    </row>
    <row r="692" spans="2:7" hidden="1" outlineLevel="2">
      <c r="B692" s="330" t="s">
        <v>938</v>
      </c>
      <c r="C692" s="121" t="s">
        <v>465</v>
      </c>
      <c r="D692" s="332" t="s">
        <v>69</v>
      </c>
      <c r="E692" s="332">
        <v>0.86</v>
      </c>
      <c r="F692" s="325">
        <v>563.16999999999996</v>
      </c>
      <c r="G692" s="436">
        <f>ROUND(E692*F692,2)</f>
        <v>484.33</v>
      </c>
    </row>
    <row r="693" spans="2:7" hidden="1" outlineLevel="2">
      <c r="B693" s="330" t="s">
        <v>939</v>
      </c>
      <c r="C693" s="121" t="s">
        <v>100</v>
      </c>
      <c r="D693" s="332" t="s">
        <v>94</v>
      </c>
      <c r="E693" s="332">
        <v>51.68</v>
      </c>
      <c r="F693" s="325">
        <v>7.37</v>
      </c>
      <c r="G693" s="436">
        <f>ROUND(E693*F693,2)</f>
        <v>380.88</v>
      </c>
    </row>
    <row r="694" spans="2:7" hidden="1" outlineLevel="2">
      <c r="B694" s="331" t="s">
        <v>940</v>
      </c>
      <c r="C694" s="324" t="s">
        <v>235</v>
      </c>
      <c r="D694" s="332"/>
      <c r="E694" s="332"/>
      <c r="F694" s="325"/>
      <c r="G694" s="435">
        <f>+SUBTOTAL(9,G695:G697)</f>
        <v>4883.62</v>
      </c>
    </row>
    <row r="695" spans="2:7" hidden="1" outlineLevel="2">
      <c r="B695" s="330" t="s">
        <v>941</v>
      </c>
      <c r="C695" s="121" t="s">
        <v>469</v>
      </c>
      <c r="D695" s="332" t="s">
        <v>69</v>
      </c>
      <c r="E695" s="332">
        <v>3.44</v>
      </c>
      <c r="F695" s="325">
        <v>618.65</v>
      </c>
      <c r="G695" s="436">
        <f>ROUND(E695*F695,2)</f>
        <v>2128.16</v>
      </c>
    </row>
    <row r="696" spans="2:7" hidden="1" outlineLevel="2">
      <c r="B696" s="330" t="s">
        <v>942</v>
      </c>
      <c r="C696" s="121" t="s">
        <v>106</v>
      </c>
      <c r="D696" s="332" t="s">
        <v>57</v>
      </c>
      <c r="E696" s="332">
        <v>17.510000000000002</v>
      </c>
      <c r="F696" s="325">
        <v>64.8</v>
      </c>
      <c r="G696" s="436">
        <f>ROUND(E696*F696,2)</f>
        <v>1134.6500000000001</v>
      </c>
    </row>
    <row r="697" spans="2:7" hidden="1" outlineLevel="2">
      <c r="B697" s="330" t="s">
        <v>943</v>
      </c>
      <c r="C697" s="121" t="s">
        <v>108</v>
      </c>
      <c r="D697" s="332" t="s">
        <v>94</v>
      </c>
      <c r="E697" s="332">
        <v>215.82</v>
      </c>
      <c r="F697" s="325">
        <v>7.51</v>
      </c>
      <c r="G697" s="436">
        <f>ROUND(E697*F697,2)</f>
        <v>1620.81</v>
      </c>
    </row>
    <row r="698" spans="2:7" hidden="1" outlineLevel="2">
      <c r="B698" s="331" t="s">
        <v>944</v>
      </c>
      <c r="C698" s="324" t="s">
        <v>473</v>
      </c>
      <c r="D698" s="332"/>
      <c r="E698" s="332"/>
      <c r="F698" s="325"/>
      <c r="G698" s="435">
        <f>+SUBTOTAL(9,G699:G701)</f>
        <v>394.53999999999996</v>
      </c>
    </row>
    <row r="699" spans="2:7" hidden="1" outlineLevel="2">
      <c r="B699" s="330" t="s">
        <v>945</v>
      </c>
      <c r="C699" s="121" t="s">
        <v>475</v>
      </c>
      <c r="D699" s="332" t="s">
        <v>69</v>
      </c>
      <c r="E699" s="332">
        <v>0.16</v>
      </c>
      <c r="F699" s="325">
        <v>541.16</v>
      </c>
      <c r="G699" s="436">
        <f>ROUND(E699*F699,2)</f>
        <v>86.59</v>
      </c>
    </row>
    <row r="700" spans="2:7" hidden="1" outlineLevel="2">
      <c r="B700" s="330" t="s">
        <v>946</v>
      </c>
      <c r="C700" s="121" t="s">
        <v>477</v>
      </c>
      <c r="D700" s="332" t="s">
        <v>57</v>
      </c>
      <c r="E700" s="332">
        <v>3.63</v>
      </c>
      <c r="F700" s="325">
        <v>35.4</v>
      </c>
      <c r="G700" s="436">
        <f>ROUND(E700*F700,2)</f>
        <v>128.5</v>
      </c>
    </row>
    <row r="701" spans="2:7" hidden="1" outlineLevel="2">
      <c r="B701" s="330" t="s">
        <v>947</v>
      </c>
      <c r="C701" s="121" t="s">
        <v>479</v>
      </c>
      <c r="D701" s="332" t="s">
        <v>94</v>
      </c>
      <c r="E701" s="332">
        <v>23.99</v>
      </c>
      <c r="F701" s="325">
        <v>7.48</v>
      </c>
      <c r="G701" s="436">
        <f>ROUND(E701*F701,2)</f>
        <v>179.45</v>
      </c>
    </row>
    <row r="702" spans="2:7" hidden="1" outlineLevel="2">
      <c r="B702" s="331" t="s">
        <v>948</v>
      </c>
      <c r="C702" s="324" t="s">
        <v>134</v>
      </c>
      <c r="D702" s="332"/>
      <c r="E702" s="332"/>
      <c r="F702" s="325"/>
      <c r="G702" s="435">
        <f>+SUBTOTAL(9,G703:G706)</f>
        <v>1171.48</v>
      </c>
    </row>
    <row r="703" spans="2:7" ht="30" hidden="1" outlineLevel="2">
      <c r="B703" s="330" t="s">
        <v>949</v>
      </c>
      <c r="C703" s="121" t="s">
        <v>136</v>
      </c>
      <c r="D703" s="332" t="s">
        <v>57</v>
      </c>
      <c r="E703" s="332">
        <v>2.7</v>
      </c>
      <c r="F703" s="325">
        <v>28.74</v>
      </c>
      <c r="G703" s="436">
        <f>ROUND(E703*F703,2)</f>
        <v>77.599999999999994</v>
      </c>
    </row>
    <row r="704" spans="2:7" ht="30" hidden="1" outlineLevel="2">
      <c r="B704" s="330" t="s">
        <v>950</v>
      </c>
      <c r="C704" s="121" t="s">
        <v>138</v>
      </c>
      <c r="D704" s="332" t="s">
        <v>57</v>
      </c>
      <c r="E704" s="332">
        <v>2.7</v>
      </c>
      <c r="F704" s="325">
        <v>28.74</v>
      </c>
      <c r="G704" s="436">
        <f>ROUND(E704*F704,2)</f>
        <v>77.599999999999994</v>
      </c>
    </row>
    <row r="705" spans="2:7" ht="30" hidden="1" outlineLevel="2">
      <c r="B705" s="330" t="s">
        <v>951</v>
      </c>
      <c r="C705" s="121" t="s">
        <v>140</v>
      </c>
      <c r="D705" s="332" t="s">
        <v>57</v>
      </c>
      <c r="E705" s="332">
        <v>17.510000000000002</v>
      </c>
      <c r="F705" s="325">
        <v>28.74</v>
      </c>
      <c r="G705" s="436">
        <f>ROUND(E705*F705,2)</f>
        <v>503.24</v>
      </c>
    </row>
    <row r="706" spans="2:7" ht="30" hidden="1" outlineLevel="2">
      <c r="B706" s="330" t="s">
        <v>952</v>
      </c>
      <c r="C706" s="121" t="s">
        <v>142</v>
      </c>
      <c r="D706" s="332" t="s">
        <v>57</v>
      </c>
      <c r="E706" s="332">
        <v>17.510000000000002</v>
      </c>
      <c r="F706" s="325">
        <v>29.3</v>
      </c>
      <c r="G706" s="436">
        <f>ROUND(E706*F706,2)</f>
        <v>513.04</v>
      </c>
    </row>
    <row r="707" spans="2:7" hidden="1" outlineLevel="2">
      <c r="B707" s="331" t="s">
        <v>953</v>
      </c>
      <c r="C707" s="324" t="s">
        <v>185</v>
      </c>
      <c r="D707" s="332"/>
      <c r="E707" s="332"/>
      <c r="F707" s="325"/>
      <c r="G707" s="435">
        <f>+SUBTOTAL(9,G708:G711)</f>
        <v>1574.87</v>
      </c>
    </row>
    <row r="708" spans="2:7" hidden="1" outlineLevel="2">
      <c r="B708" s="330" t="s">
        <v>954</v>
      </c>
      <c r="C708" s="121" t="s">
        <v>487</v>
      </c>
      <c r="D708" s="332" t="s">
        <v>43</v>
      </c>
      <c r="E708" s="332">
        <v>1</v>
      </c>
      <c r="F708" s="325">
        <v>1249.6600000000001</v>
      </c>
      <c r="G708" s="436">
        <f>ROUND(E708*F708,2)</f>
        <v>1249.6600000000001</v>
      </c>
    </row>
    <row r="709" spans="2:7" hidden="1" outlineLevel="2">
      <c r="B709" s="330" t="s">
        <v>955</v>
      </c>
      <c r="C709" s="121" t="s">
        <v>489</v>
      </c>
      <c r="D709" s="332" t="s">
        <v>43</v>
      </c>
      <c r="E709" s="332">
        <v>4</v>
      </c>
      <c r="F709" s="325">
        <v>12.7</v>
      </c>
      <c r="G709" s="436">
        <f>ROUND(E709*F709,2)</f>
        <v>50.8</v>
      </c>
    </row>
    <row r="710" spans="2:7" hidden="1" outlineLevel="2">
      <c r="B710" s="330" t="s">
        <v>956</v>
      </c>
      <c r="C710" s="121" t="s">
        <v>183</v>
      </c>
      <c r="D710" s="332" t="s">
        <v>43</v>
      </c>
      <c r="E710" s="332">
        <v>2</v>
      </c>
      <c r="F710" s="325">
        <v>28.65</v>
      </c>
      <c r="G710" s="436">
        <f>ROUND(E710*F710,2)</f>
        <v>57.3</v>
      </c>
    </row>
    <row r="711" spans="2:7" hidden="1" outlineLevel="2">
      <c r="B711" s="330" t="s">
        <v>957</v>
      </c>
      <c r="C711" s="121" t="s">
        <v>193</v>
      </c>
      <c r="D711" s="332" t="s">
        <v>57</v>
      </c>
      <c r="E711" s="332">
        <v>21.14</v>
      </c>
      <c r="F711" s="325">
        <v>10.27</v>
      </c>
      <c r="G711" s="436">
        <f>ROUND(E711*F711,2)</f>
        <v>217.11</v>
      </c>
    </row>
    <row r="712" spans="2:7" hidden="1" outlineLevel="1" collapsed="1">
      <c r="B712" s="331" t="s">
        <v>958</v>
      </c>
      <c r="C712" s="324" t="s">
        <v>305</v>
      </c>
      <c r="D712" s="332"/>
      <c r="E712" s="332"/>
      <c r="F712" s="325"/>
      <c r="G712" s="435">
        <f>+SUBTOTAL(9,G713:G811)</f>
        <v>32999.480000000003</v>
      </c>
    </row>
    <row r="713" spans="2:7" hidden="1" outlineLevel="2">
      <c r="B713" s="331" t="s">
        <v>959</v>
      </c>
      <c r="C713" s="324" t="s">
        <v>54</v>
      </c>
      <c r="D713" s="332"/>
      <c r="E713" s="332"/>
      <c r="F713" s="325"/>
      <c r="G713" s="435">
        <f>+SUBTOTAL(9,G714:G715)</f>
        <v>997.12999999999988</v>
      </c>
    </row>
    <row r="714" spans="2:7" hidden="1" outlineLevel="2">
      <c r="B714" s="330" t="s">
        <v>960</v>
      </c>
      <c r="C714" s="121" t="s">
        <v>56</v>
      </c>
      <c r="D714" s="332" t="s">
        <v>57</v>
      </c>
      <c r="E714" s="332">
        <v>7.5</v>
      </c>
      <c r="F714" s="325">
        <v>68.64</v>
      </c>
      <c r="G714" s="436">
        <f>ROUND(E714*F714,2)</f>
        <v>514.79999999999995</v>
      </c>
    </row>
    <row r="715" spans="2:7" hidden="1" outlineLevel="2">
      <c r="B715" s="330" t="s">
        <v>961</v>
      </c>
      <c r="C715" s="121" t="s">
        <v>199</v>
      </c>
      <c r="D715" s="332" t="s">
        <v>57</v>
      </c>
      <c r="E715" s="332">
        <v>7.5</v>
      </c>
      <c r="F715" s="325">
        <v>64.31</v>
      </c>
      <c r="G715" s="436">
        <f>ROUND(E715*F715,2)</f>
        <v>482.33</v>
      </c>
    </row>
    <row r="716" spans="2:7" hidden="1" outlineLevel="2">
      <c r="B716" s="331" t="s">
        <v>962</v>
      </c>
      <c r="C716" s="324" t="s">
        <v>66</v>
      </c>
      <c r="D716" s="332"/>
      <c r="E716" s="332"/>
      <c r="F716" s="325"/>
      <c r="G716" s="435">
        <f>+SUBTOTAL(9,G717:G720)</f>
        <v>2463.9699999999998</v>
      </c>
    </row>
    <row r="717" spans="2:7" hidden="1" outlineLevel="2">
      <c r="B717" s="330" t="s">
        <v>963</v>
      </c>
      <c r="C717" s="121" t="s">
        <v>311</v>
      </c>
      <c r="D717" s="332" t="s">
        <v>69</v>
      </c>
      <c r="E717" s="332">
        <v>7.7</v>
      </c>
      <c r="F717" s="325">
        <v>264.68</v>
      </c>
      <c r="G717" s="436">
        <f>ROUND(E717*F717,2)</f>
        <v>2038.04</v>
      </c>
    </row>
    <row r="718" spans="2:7" hidden="1" outlineLevel="2">
      <c r="B718" s="330" t="s">
        <v>964</v>
      </c>
      <c r="C718" s="121" t="s">
        <v>73</v>
      </c>
      <c r="D718" s="332" t="s">
        <v>57</v>
      </c>
      <c r="E718" s="332">
        <v>8.07</v>
      </c>
      <c r="F718" s="325">
        <v>14.12</v>
      </c>
      <c r="G718" s="436">
        <f>ROUND(E718*F718,2)</f>
        <v>113.95</v>
      </c>
    </row>
    <row r="719" spans="2:7" hidden="1" outlineLevel="2">
      <c r="B719" s="330" t="s">
        <v>965</v>
      </c>
      <c r="C719" s="121" t="s">
        <v>75</v>
      </c>
      <c r="D719" s="332" t="s">
        <v>69</v>
      </c>
      <c r="E719" s="332">
        <v>2.14</v>
      </c>
      <c r="F719" s="325">
        <v>96.56</v>
      </c>
      <c r="G719" s="436">
        <f>ROUND(E719*F719,2)</f>
        <v>206.64</v>
      </c>
    </row>
    <row r="720" spans="2:7" hidden="1" outlineLevel="2">
      <c r="B720" s="330" t="s">
        <v>966</v>
      </c>
      <c r="C720" s="121" t="s">
        <v>77</v>
      </c>
      <c r="D720" s="332" t="s">
        <v>69</v>
      </c>
      <c r="E720" s="332">
        <v>7.7</v>
      </c>
      <c r="F720" s="325">
        <v>13.68</v>
      </c>
      <c r="G720" s="436">
        <f>ROUND(E720*F720,2)</f>
        <v>105.34</v>
      </c>
    </row>
    <row r="721" spans="2:7" hidden="1" outlineLevel="2">
      <c r="B721" s="331" t="s">
        <v>967</v>
      </c>
      <c r="C721" s="324" t="s">
        <v>79</v>
      </c>
      <c r="D721" s="332"/>
      <c r="E721" s="332"/>
      <c r="F721" s="325"/>
      <c r="G721" s="435">
        <f>+SUBTOTAL(9,G722:G725)</f>
        <v>1619.52</v>
      </c>
    </row>
    <row r="722" spans="2:7" hidden="1" outlineLevel="2">
      <c r="B722" s="330" t="s">
        <v>968</v>
      </c>
      <c r="C722" s="121" t="s">
        <v>81</v>
      </c>
      <c r="D722" s="332" t="s">
        <v>69</v>
      </c>
      <c r="E722" s="332">
        <v>0.26</v>
      </c>
      <c r="F722" s="325">
        <v>398.62</v>
      </c>
      <c r="G722" s="436">
        <f>ROUND(E722*F722,2)</f>
        <v>103.64</v>
      </c>
    </row>
    <row r="723" spans="2:7" hidden="1" outlineLevel="2">
      <c r="B723" s="330" t="s">
        <v>969</v>
      </c>
      <c r="C723" s="121" t="s">
        <v>318</v>
      </c>
      <c r="D723" s="332" t="s">
        <v>69</v>
      </c>
      <c r="E723" s="332">
        <v>2.54</v>
      </c>
      <c r="F723" s="325">
        <v>353.53</v>
      </c>
      <c r="G723" s="436">
        <f>ROUND(E723*F723,2)</f>
        <v>897.97</v>
      </c>
    </row>
    <row r="724" spans="2:7" hidden="1" outlineLevel="2">
      <c r="B724" s="330" t="s">
        <v>970</v>
      </c>
      <c r="C724" s="121" t="s">
        <v>320</v>
      </c>
      <c r="D724" s="332" t="s">
        <v>69</v>
      </c>
      <c r="E724" s="332">
        <v>0.56000000000000005</v>
      </c>
      <c r="F724" s="325">
        <v>415.41</v>
      </c>
      <c r="G724" s="436">
        <f>ROUND(E724*F724,2)</f>
        <v>232.63</v>
      </c>
    </row>
    <row r="725" spans="2:7" hidden="1" outlineLevel="2">
      <c r="B725" s="330" t="s">
        <v>971</v>
      </c>
      <c r="C725" s="121" t="s">
        <v>322</v>
      </c>
      <c r="D725" s="332" t="s">
        <v>57</v>
      </c>
      <c r="E725" s="332">
        <v>7.99</v>
      </c>
      <c r="F725" s="325">
        <v>48.22</v>
      </c>
      <c r="G725" s="436">
        <f>ROUND(E725*F725,2)</f>
        <v>385.28</v>
      </c>
    </row>
    <row r="726" spans="2:7" hidden="1" outlineLevel="2">
      <c r="B726" s="331" t="s">
        <v>972</v>
      </c>
      <c r="C726" s="324" t="s">
        <v>85</v>
      </c>
      <c r="D726" s="332"/>
      <c r="E726" s="332"/>
      <c r="F726" s="325"/>
      <c r="G726" s="435">
        <f>+SUBTOTAL(9,G727:G741)</f>
        <v>7795.59</v>
      </c>
    </row>
    <row r="727" spans="2:7" hidden="1" outlineLevel="2">
      <c r="B727" s="331" t="s">
        <v>973</v>
      </c>
      <c r="C727" s="324" t="s">
        <v>974</v>
      </c>
      <c r="D727" s="332"/>
      <c r="E727" s="332"/>
      <c r="F727" s="325"/>
      <c r="G727" s="435">
        <f>+SUBTOTAL(9,G728:G729)</f>
        <v>811.81999999999994</v>
      </c>
    </row>
    <row r="728" spans="2:7" hidden="1" outlineLevel="2">
      <c r="B728" s="330" t="s">
        <v>975</v>
      </c>
      <c r="C728" s="121" t="s">
        <v>220</v>
      </c>
      <c r="D728" s="332" t="s">
        <v>69</v>
      </c>
      <c r="E728" s="332">
        <v>1.3</v>
      </c>
      <c r="F728" s="325">
        <v>417.1</v>
      </c>
      <c r="G728" s="436">
        <f>ROUND(E728*F728,2)</f>
        <v>542.23</v>
      </c>
    </row>
    <row r="729" spans="2:7" hidden="1" outlineLevel="2">
      <c r="B729" s="330" t="s">
        <v>976</v>
      </c>
      <c r="C729" s="121" t="s">
        <v>93</v>
      </c>
      <c r="D729" s="332" t="s">
        <v>94</v>
      </c>
      <c r="E729" s="332">
        <v>36.58</v>
      </c>
      <c r="F729" s="325">
        <v>7.37</v>
      </c>
      <c r="G729" s="436">
        <f>ROUND(E729*F729,2)</f>
        <v>269.58999999999997</v>
      </c>
    </row>
    <row r="730" spans="2:7" hidden="1" outlineLevel="2">
      <c r="B730" s="331" t="s">
        <v>977</v>
      </c>
      <c r="C730" s="324" t="s">
        <v>227</v>
      </c>
      <c r="D730" s="332"/>
      <c r="E730" s="332"/>
      <c r="F730" s="325"/>
      <c r="G730" s="435">
        <f>+SUBTOTAL(9,G731:G733)</f>
        <v>2659.8</v>
      </c>
    </row>
    <row r="731" spans="2:7" hidden="1" outlineLevel="2">
      <c r="B731" s="330" t="s">
        <v>978</v>
      </c>
      <c r="C731" s="121" t="s">
        <v>229</v>
      </c>
      <c r="D731" s="332" t="s">
        <v>69</v>
      </c>
      <c r="E731" s="332">
        <v>0.9</v>
      </c>
      <c r="F731" s="325">
        <v>427.59</v>
      </c>
      <c r="G731" s="436">
        <f>ROUND(E731*F731,2)</f>
        <v>384.83</v>
      </c>
    </row>
    <row r="732" spans="2:7" hidden="1" outlineLevel="2">
      <c r="B732" s="330" t="s">
        <v>979</v>
      </c>
      <c r="C732" s="121" t="s">
        <v>231</v>
      </c>
      <c r="D732" s="332" t="s">
        <v>57</v>
      </c>
      <c r="E732" s="332">
        <v>13.8</v>
      </c>
      <c r="F732" s="325">
        <v>65.900000000000006</v>
      </c>
      <c r="G732" s="436">
        <f>ROUND(E732*F732,2)</f>
        <v>909.42</v>
      </c>
    </row>
    <row r="733" spans="2:7" hidden="1" outlineLevel="2">
      <c r="B733" s="330" t="s">
        <v>980</v>
      </c>
      <c r="C733" s="121" t="s">
        <v>233</v>
      </c>
      <c r="D733" s="332" t="s">
        <v>94</v>
      </c>
      <c r="E733" s="332">
        <v>182.56</v>
      </c>
      <c r="F733" s="325">
        <v>7.48</v>
      </c>
      <c r="G733" s="436">
        <f>ROUND(E733*F733,2)</f>
        <v>1365.55</v>
      </c>
    </row>
    <row r="734" spans="2:7" hidden="1" outlineLevel="2">
      <c r="B734" s="331" t="s">
        <v>981</v>
      </c>
      <c r="C734" s="324" t="s">
        <v>241</v>
      </c>
      <c r="D734" s="332"/>
      <c r="E734" s="332"/>
      <c r="F734" s="325"/>
      <c r="G734" s="435">
        <f>+SUBTOTAL(9,G735:G737)</f>
        <v>2410.9</v>
      </c>
    </row>
    <row r="735" spans="2:7" hidden="1" outlineLevel="2">
      <c r="B735" s="330" t="s">
        <v>982</v>
      </c>
      <c r="C735" s="121" t="s">
        <v>333</v>
      </c>
      <c r="D735" s="332" t="s">
        <v>69</v>
      </c>
      <c r="E735" s="332">
        <v>1.1000000000000001</v>
      </c>
      <c r="F735" s="325">
        <v>427.59</v>
      </c>
      <c r="G735" s="436">
        <f>ROUND(E735*F735,2)</f>
        <v>470.35</v>
      </c>
    </row>
    <row r="736" spans="2:7" hidden="1" outlineLevel="2">
      <c r="B736" s="330" t="s">
        <v>983</v>
      </c>
      <c r="C736" s="121" t="s">
        <v>122</v>
      </c>
      <c r="D736" s="332" t="s">
        <v>57</v>
      </c>
      <c r="E736" s="332">
        <v>8.26</v>
      </c>
      <c r="F736" s="325">
        <v>75.39</v>
      </c>
      <c r="G736" s="436">
        <f>ROUND(E736*F736,2)</f>
        <v>622.72</v>
      </c>
    </row>
    <row r="737" spans="2:7" hidden="1" outlineLevel="2">
      <c r="B737" s="330" t="s">
        <v>984</v>
      </c>
      <c r="C737" s="121" t="s">
        <v>336</v>
      </c>
      <c r="D737" s="332" t="s">
        <v>94</v>
      </c>
      <c r="E737" s="332">
        <v>176.18</v>
      </c>
      <c r="F737" s="325">
        <v>7.48</v>
      </c>
      <c r="G737" s="436">
        <f>ROUND(E737*F737,2)</f>
        <v>1317.83</v>
      </c>
    </row>
    <row r="738" spans="2:7" hidden="1" outlineLevel="2">
      <c r="B738" s="331" t="s">
        <v>985</v>
      </c>
      <c r="C738" s="324" t="s">
        <v>695</v>
      </c>
      <c r="D738" s="332"/>
      <c r="E738" s="332"/>
      <c r="F738" s="325"/>
      <c r="G738" s="435">
        <f>+SUBTOTAL(9,G739:G741)</f>
        <v>1913.07</v>
      </c>
    </row>
    <row r="739" spans="2:7" hidden="1" outlineLevel="2">
      <c r="B739" s="330" t="s">
        <v>986</v>
      </c>
      <c r="C739" s="121" t="s">
        <v>339</v>
      </c>
      <c r="D739" s="332" t="s">
        <v>69</v>
      </c>
      <c r="E739" s="332">
        <v>1.25</v>
      </c>
      <c r="F739" s="325">
        <v>417.1</v>
      </c>
      <c r="G739" s="436">
        <f>ROUND(E739*F739,2)</f>
        <v>521.38</v>
      </c>
    </row>
    <row r="740" spans="2:7" hidden="1" outlineLevel="2">
      <c r="B740" s="330" t="s">
        <v>987</v>
      </c>
      <c r="C740" s="121" t="s">
        <v>252</v>
      </c>
      <c r="D740" s="332" t="s">
        <v>57</v>
      </c>
      <c r="E740" s="332">
        <v>10.58</v>
      </c>
      <c r="F740" s="325">
        <v>60.67</v>
      </c>
      <c r="G740" s="436">
        <f>ROUND(E740*F740,2)</f>
        <v>641.89</v>
      </c>
    </row>
    <row r="741" spans="2:7" hidden="1" outlineLevel="2">
      <c r="B741" s="330" t="s">
        <v>988</v>
      </c>
      <c r="C741" s="121" t="s">
        <v>254</v>
      </c>
      <c r="D741" s="332" t="s">
        <v>94</v>
      </c>
      <c r="E741" s="332">
        <v>100.24</v>
      </c>
      <c r="F741" s="325">
        <v>7.48</v>
      </c>
      <c r="G741" s="436">
        <f>ROUND(E741*F741,2)</f>
        <v>749.8</v>
      </c>
    </row>
    <row r="742" spans="2:7" hidden="1" outlineLevel="2">
      <c r="B742" s="331" t="s">
        <v>989</v>
      </c>
      <c r="C742" s="324" t="s">
        <v>343</v>
      </c>
      <c r="D742" s="332"/>
      <c r="E742" s="332"/>
      <c r="F742" s="325"/>
      <c r="G742" s="435">
        <f>+SUBTOTAL(9,G743)</f>
        <v>2351.84</v>
      </c>
    </row>
    <row r="743" spans="2:7" hidden="1" outlineLevel="2">
      <c r="B743" s="330" t="s">
        <v>990</v>
      </c>
      <c r="C743" s="121" t="s">
        <v>548</v>
      </c>
      <c r="D743" s="332" t="s">
        <v>57</v>
      </c>
      <c r="E743" s="332">
        <v>22.88</v>
      </c>
      <c r="F743" s="325">
        <v>102.79</v>
      </c>
      <c r="G743" s="436">
        <f>ROUND(E743*F743,2)</f>
        <v>2351.84</v>
      </c>
    </row>
    <row r="744" spans="2:7" hidden="1" outlineLevel="2">
      <c r="B744" s="331" t="s">
        <v>991</v>
      </c>
      <c r="C744" s="324" t="s">
        <v>134</v>
      </c>
      <c r="D744" s="332"/>
      <c r="E744" s="332"/>
      <c r="F744" s="325"/>
      <c r="G744" s="435">
        <f>+SUBTOTAL(9,G745:G751)</f>
        <v>2773.26</v>
      </c>
    </row>
    <row r="745" spans="2:7" ht="30" hidden="1" outlineLevel="2">
      <c r="B745" s="330" t="s">
        <v>992</v>
      </c>
      <c r="C745" s="121" t="s">
        <v>348</v>
      </c>
      <c r="D745" s="332" t="s">
        <v>57</v>
      </c>
      <c r="E745" s="332">
        <v>28.97</v>
      </c>
      <c r="F745" s="325">
        <v>27.37</v>
      </c>
      <c r="G745" s="436">
        <f t="shared" ref="G745:G751" si="13">ROUND(E745*F745,2)</f>
        <v>792.91</v>
      </c>
    </row>
    <row r="746" spans="2:7" ht="30" hidden="1" outlineLevel="2">
      <c r="B746" s="330" t="s">
        <v>993</v>
      </c>
      <c r="C746" s="121" t="s">
        <v>350</v>
      </c>
      <c r="D746" s="332" t="s">
        <v>57</v>
      </c>
      <c r="E746" s="332">
        <v>31.94</v>
      </c>
      <c r="F746" s="325">
        <v>27.37</v>
      </c>
      <c r="G746" s="436">
        <f t="shared" si="13"/>
        <v>874.2</v>
      </c>
    </row>
    <row r="747" spans="2:7" ht="30" hidden="1" outlineLevel="2">
      <c r="B747" s="330" t="s">
        <v>994</v>
      </c>
      <c r="C747" s="121" t="s">
        <v>352</v>
      </c>
      <c r="D747" s="332" t="s">
        <v>57</v>
      </c>
      <c r="E747" s="332">
        <v>8.39</v>
      </c>
      <c r="F747" s="325">
        <v>27.37</v>
      </c>
      <c r="G747" s="436">
        <f t="shared" si="13"/>
        <v>229.63</v>
      </c>
    </row>
    <row r="748" spans="2:7" ht="30" hidden="1" outlineLevel="2">
      <c r="B748" s="330" t="s">
        <v>995</v>
      </c>
      <c r="C748" s="121" t="s">
        <v>354</v>
      </c>
      <c r="D748" s="332" t="s">
        <v>57</v>
      </c>
      <c r="E748" s="332">
        <v>2.19</v>
      </c>
      <c r="F748" s="325">
        <v>27.37</v>
      </c>
      <c r="G748" s="436">
        <f t="shared" si="13"/>
        <v>59.94</v>
      </c>
    </row>
    <row r="749" spans="2:7" hidden="1" outlineLevel="2">
      <c r="B749" s="330" t="s">
        <v>996</v>
      </c>
      <c r="C749" s="121" t="s">
        <v>356</v>
      </c>
      <c r="D749" s="332" t="s">
        <v>57</v>
      </c>
      <c r="E749" s="332">
        <v>14</v>
      </c>
      <c r="F749" s="325">
        <v>32.47</v>
      </c>
      <c r="G749" s="436">
        <f t="shared" si="13"/>
        <v>454.58</v>
      </c>
    </row>
    <row r="750" spans="2:7" hidden="1" outlineLevel="2">
      <c r="B750" s="330" t="s">
        <v>997</v>
      </c>
      <c r="C750" s="121" t="s">
        <v>277</v>
      </c>
      <c r="D750" s="332" t="s">
        <v>64</v>
      </c>
      <c r="E750" s="332">
        <v>9.6</v>
      </c>
      <c r="F750" s="325">
        <v>17.440000000000001</v>
      </c>
      <c r="G750" s="436">
        <f t="shared" si="13"/>
        <v>167.42</v>
      </c>
    </row>
    <row r="751" spans="2:7" hidden="1" outlineLevel="2">
      <c r="B751" s="330" t="s">
        <v>998</v>
      </c>
      <c r="C751" s="121" t="s">
        <v>156</v>
      </c>
      <c r="D751" s="332" t="s">
        <v>57</v>
      </c>
      <c r="E751" s="332">
        <v>45.57</v>
      </c>
      <c r="F751" s="325">
        <v>4.2699999999999996</v>
      </c>
      <c r="G751" s="436">
        <f t="shared" si="13"/>
        <v>194.58</v>
      </c>
    </row>
    <row r="752" spans="2:7" hidden="1" outlineLevel="2">
      <c r="B752" s="331" t="s">
        <v>999</v>
      </c>
      <c r="C752" s="324" t="s">
        <v>158</v>
      </c>
      <c r="D752" s="332"/>
      <c r="E752" s="332"/>
      <c r="F752" s="325"/>
      <c r="G752" s="435">
        <f>+SUBTOTAL(9,G753:G754)</f>
        <v>1340.0900000000001</v>
      </c>
    </row>
    <row r="753" spans="2:7" hidden="1" outlineLevel="2">
      <c r="B753" s="330" t="s">
        <v>1000</v>
      </c>
      <c r="C753" s="121" t="s">
        <v>361</v>
      </c>
      <c r="D753" s="332" t="s">
        <v>57</v>
      </c>
      <c r="E753" s="332">
        <v>5.62</v>
      </c>
      <c r="F753" s="325">
        <v>66.84</v>
      </c>
      <c r="G753" s="436">
        <f>ROUND(E753*F753,2)</f>
        <v>375.64</v>
      </c>
    </row>
    <row r="754" spans="2:7" hidden="1" outlineLevel="2">
      <c r="B754" s="330" t="s">
        <v>1001</v>
      </c>
      <c r="C754" s="121" t="s">
        <v>363</v>
      </c>
      <c r="D754" s="332" t="s">
        <v>57</v>
      </c>
      <c r="E754" s="332">
        <v>5.62</v>
      </c>
      <c r="F754" s="325">
        <v>171.61</v>
      </c>
      <c r="G754" s="436">
        <f>ROUND(E754*F754,2)</f>
        <v>964.45</v>
      </c>
    </row>
    <row r="755" spans="2:7" hidden="1" outlineLevel="2">
      <c r="B755" s="331" t="s">
        <v>1002</v>
      </c>
      <c r="C755" s="324" t="s">
        <v>162</v>
      </c>
      <c r="D755" s="332"/>
      <c r="E755" s="332"/>
      <c r="F755" s="325"/>
      <c r="G755" s="435">
        <f>+SUBTOTAL(9,G756:G757)</f>
        <v>4568.1099999999997</v>
      </c>
    </row>
    <row r="756" spans="2:7" hidden="1" outlineLevel="2">
      <c r="B756" s="330" t="s">
        <v>1003</v>
      </c>
      <c r="C756" s="121" t="s">
        <v>1004</v>
      </c>
      <c r="D756" s="332" t="s">
        <v>287</v>
      </c>
      <c r="E756" s="332">
        <v>1</v>
      </c>
      <c r="F756" s="325">
        <v>3753</v>
      </c>
      <c r="G756" s="436">
        <f>ROUND(E756*F756,2)</f>
        <v>3753</v>
      </c>
    </row>
    <row r="757" spans="2:7" hidden="1" outlineLevel="2">
      <c r="B757" s="330" t="s">
        <v>1005</v>
      </c>
      <c r="C757" s="121" t="s">
        <v>289</v>
      </c>
      <c r="D757" s="332" t="s">
        <v>287</v>
      </c>
      <c r="E757" s="332">
        <v>1</v>
      </c>
      <c r="F757" s="325">
        <v>815.11</v>
      </c>
      <c r="G757" s="436">
        <f>ROUND(E757*F757,2)</f>
        <v>815.11</v>
      </c>
    </row>
    <row r="758" spans="2:7" hidden="1" outlineLevel="2">
      <c r="B758" s="331" t="s">
        <v>1006</v>
      </c>
      <c r="C758" s="324" t="s">
        <v>174</v>
      </c>
      <c r="D758" s="332"/>
      <c r="E758" s="332"/>
      <c r="F758" s="325"/>
      <c r="G758" s="435">
        <f>+SUBTOTAL(9,G759:G761)</f>
        <v>742.5</v>
      </c>
    </row>
    <row r="759" spans="2:7" hidden="1" outlineLevel="2">
      <c r="B759" s="330" t="s">
        <v>1007</v>
      </c>
      <c r="C759" s="121" t="s">
        <v>294</v>
      </c>
      <c r="D759" s="332" t="s">
        <v>57</v>
      </c>
      <c r="E759" s="332">
        <v>28.97</v>
      </c>
      <c r="F759" s="325">
        <v>9.8000000000000007</v>
      </c>
      <c r="G759" s="436">
        <f>ROUND(E759*F759,2)</f>
        <v>283.91000000000003</v>
      </c>
    </row>
    <row r="760" spans="2:7" hidden="1" outlineLevel="2">
      <c r="B760" s="330" t="s">
        <v>1008</v>
      </c>
      <c r="C760" s="121" t="s">
        <v>296</v>
      </c>
      <c r="D760" s="332" t="s">
        <v>57</v>
      </c>
      <c r="E760" s="332">
        <v>31.94</v>
      </c>
      <c r="F760" s="325">
        <v>10.32</v>
      </c>
      <c r="G760" s="436">
        <f>ROUND(E760*F760,2)</f>
        <v>329.62</v>
      </c>
    </row>
    <row r="761" spans="2:7" hidden="1" outlineLevel="2">
      <c r="B761" s="330" t="s">
        <v>1009</v>
      </c>
      <c r="C761" s="121" t="s">
        <v>298</v>
      </c>
      <c r="D761" s="332" t="s">
        <v>57</v>
      </c>
      <c r="E761" s="332">
        <v>10.58</v>
      </c>
      <c r="F761" s="325">
        <v>12.19</v>
      </c>
      <c r="G761" s="436">
        <f>ROUND(E761*F761,2)</f>
        <v>128.97</v>
      </c>
    </row>
    <row r="762" spans="2:7" hidden="1" outlineLevel="2">
      <c r="B762" s="331" t="s">
        <v>1010</v>
      </c>
      <c r="C762" s="324" t="s">
        <v>178</v>
      </c>
      <c r="D762" s="332"/>
      <c r="E762" s="332"/>
      <c r="F762" s="325"/>
      <c r="G762" s="435">
        <f>+SUBTOTAL(9,G763)</f>
        <v>57.3</v>
      </c>
    </row>
    <row r="763" spans="2:7" hidden="1" outlineLevel="2">
      <c r="B763" s="330" t="s">
        <v>1011</v>
      </c>
      <c r="C763" s="121" t="s">
        <v>183</v>
      </c>
      <c r="D763" s="332" t="s">
        <v>43</v>
      </c>
      <c r="E763" s="332">
        <v>2</v>
      </c>
      <c r="F763" s="325">
        <v>28.65</v>
      </c>
      <c r="G763" s="436">
        <f>ROUND(E763*F763,2)</f>
        <v>57.3</v>
      </c>
    </row>
    <row r="764" spans="2:7" hidden="1" outlineLevel="2">
      <c r="B764" s="331" t="s">
        <v>1012</v>
      </c>
      <c r="C764" s="324" t="s">
        <v>185</v>
      </c>
      <c r="D764" s="332"/>
      <c r="E764" s="332"/>
      <c r="F764" s="325"/>
      <c r="G764" s="435">
        <f>+SUBTOTAL(9,G765)</f>
        <v>335.21</v>
      </c>
    </row>
    <row r="765" spans="2:7" hidden="1" outlineLevel="2">
      <c r="B765" s="330" t="s">
        <v>1013</v>
      </c>
      <c r="C765" s="121" t="s">
        <v>193</v>
      </c>
      <c r="D765" s="332" t="s">
        <v>57</v>
      </c>
      <c r="E765" s="332">
        <v>32.64</v>
      </c>
      <c r="F765" s="325">
        <v>10.27</v>
      </c>
      <c r="G765" s="436">
        <f>ROUND(E765*F765,2)</f>
        <v>335.21</v>
      </c>
    </row>
    <row r="766" spans="2:7" hidden="1" outlineLevel="2">
      <c r="B766" s="331" t="s">
        <v>1014</v>
      </c>
      <c r="C766" s="324" t="s">
        <v>380</v>
      </c>
      <c r="D766" s="332"/>
      <c r="E766" s="332"/>
      <c r="F766" s="325"/>
      <c r="G766" s="435">
        <f>+SUBTOTAL(9,G767:G773)</f>
        <v>1226.72</v>
      </c>
    </row>
    <row r="767" spans="2:7" hidden="1" outlineLevel="2">
      <c r="B767" s="330" t="s">
        <v>1015</v>
      </c>
      <c r="C767" s="121" t="s">
        <v>382</v>
      </c>
      <c r="D767" s="332" t="s">
        <v>43</v>
      </c>
      <c r="E767" s="332">
        <v>1</v>
      </c>
      <c r="F767" s="325">
        <v>176.94</v>
      </c>
      <c r="G767" s="436">
        <f t="shared" ref="G767:G773" si="14">ROUND(E767*F767,2)</f>
        <v>176.94</v>
      </c>
    </row>
    <row r="768" spans="2:7" hidden="1" outlineLevel="2">
      <c r="B768" s="330" t="s">
        <v>1016</v>
      </c>
      <c r="C768" s="121" t="s">
        <v>384</v>
      </c>
      <c r="D768" s="332" t="s">
        <v>43</v>
      </c>
      <c r="E768" s="332">
        <v>1</v>
      </c>
      <c r="F768" s="325">
        <v>76.180000000000007</v>
      </c>
      <c r="G768" s="436">
        <f t="shared" si="14"/>
        <v>76.180000000000007</v>
      </c>
    </row>
    <row r="769" spans="2:7" hidden="1" outlineLevel="2">
      <c r="B769" s="330" t="s">
        <v>1017</v>
      </c>
      <c r="C769" s="121" t="s">
        <v>388</v>
      </c>
      <c r="D769" s="332" t="s">
        <v>43</v>
      </c>
      <c r="E769" s="332">
        <v>1</v>
      </c>
      <c r="F769" s="325">
        <v>41.25</v>
      </c>
      <c r="G769" s="436">
        <f t="shared" si="14"/>
        <v>41.25</v>
      </c>
    </row>
    <row r="770" spans="2:7" hidden="1" outlineLevel="2">
      <c r="B770" s="330" t="s">
        <v>1018</v>
      </c>
      <c r="C770" s="121" t="s">
        <v>390</v>
      </c>
      <c r="D770" s="332" t="s">
        <v>43</v>
      </c>
      <c r="E770" s="332">
        <v>1</v>
      </c>
      <c r="F770" s="325">
        <v>71.88</v>
      </c>
      <c r="G770" s="436">
        <f t="shared" si="14"/>
        <v>71.88</v>
      </c>
    </row>
    <row r="771" spans="2:7" hidden="1" outlineLevel="2">
      <c r="B771" s="330" t="s">
        <v>1019</v>
      </c>
      <c r="C771" s="121" t="s">
        <v>392</v>
      </c>
      <c r="D771" s="332" t="s">
        <v>43</v>
      </c>
      <c r="E771" s="332">
        <v>1</v>
      </c>
      <c r="F771" s="325">
        <v>90.07</v>
      </c>
      <c r="G771" s="436">
        <f t="shared" si="14"/>
        <v>90.07</v>
      </c>
    </row>
    <row r="772" spans="2:7" hidden="1" outlineLevel="2">
      <c r="B772" s="330" t="s">
        <v>1020</v>
      </c>
      <c r="C772" s="121" t="s">
        <v>394</v>
      </c>
      <c r="D772" s="332" t="s">
        <v>43</v>
      </c>
      <c r="E772" s="332">
        <v>2</v>
      </c>
      <c r="F772" s="325">
        <v>308.19</v>
      </c>
      <c r="G772" s="436">
        <f t="shared" si="14"/>
        <v>616.38</v>
      </c>
    </row>
    <row r="773" spans="2:7" hidden="1" outlineLevel="2">
      <c r="B773" s="330" t="s">
        <v>1021</v>
      </c>
      <c r="C773" s="121" t="s">
        <v>396</v>
      </c>
      <c r="D773" s="332" t="s">
        <v>43</v>
      </c>
      <c r="E773" s="332">
        <v>2</v>
      </c>
      <c r="F773" s="325">
        <v>77.010000000000005</v>
      </c>
      <c r="G773" s="436">
        <f t="shared" si="14"/>
        <v>154.02000000000001</v>
      </c>
    </row>
    <row r="774" spans="2:7" hidden="1" outlineLevel="2">
      <c r="B774" s="331" t="s">
        <v>1022</v>
      </c>
      <c r="C774" s="324" t="s">
        <v>398</v>
      </c>
      <c r="D774" s="332"/>
      <c r="E774" s="332"/>
      <c r="F774" s="325"/>
      <c r="G774" s="435">
        <f>+SUBTOTAL(9,G775:G811)</f>
        <v>6728.2399999999989</v>
      </c>
    </row>
    <row r="775" spans="2:7" hidden="1" outlineLevel="2">
      <c r="B775" s="330" t="s">
        <v>1015</v>
      </c>
      <c r="C775" s="121" t="s">
        <v>399</v>
      </c>
      <c r="D775" s="332" t="s">
        <v>64</v>
      </c>
      <c r="E775" s="332">
        <v>4.05</v>
      </c>
      <c r="F775" s="325">
        <v>11.68</v>
      </c>
      <c r="G775" s="436">
        <f t="shared" ref="G775:G811" si="15">ROUND(E775*F775,2)</f>
        <v>47.3</v>
      </c>
    </row>
    <row r="776" spans="2:7" hidden="1" outlineLevel="2">
      <c r="B776" s="330" t="s">
        <v>1016</v>
      </c>
      <c r="C776" s="121" t="s">
        <v>400</v>
      </c>
      <c r="D776" s="332" t="s">
        <v>64</v>
      </c>
      <c r="E776" s="332">
        <v>50.27</v>
      </c>
      <c r="F776" s="325">
        <v>17.149999999999999</v>
      </c>
      <c r="G776" s="436">
        <f t="shared" si="15"/>
        <v>862.13</v>
      </c>
    </row>
    <row r="777" spans="2:7" hidden="1" outlineLevel="2">
      <c r="B777" s="330" t="s">
        <v>1017</v>
      </c>
      <c r="C777" s="121" t="s">
        <v>1023</v>
      </c>
      <c r="D777" s="332" t="s">
        <v>64</v>
      </c>
      <c r="E777" s="332">
        <v>2.94</v>
      </c>
      <c r="F777" s="325">
        <v>23.35</v>
      </c>
      <c r="G777" s="436">
        <f t="shared" si="15"/>
        <v>68.650000000000006</v>
      </c>
    </row>
    <row r="778" spans="2:7" hidden="1" outlineLevel="2">
      <c r="B778" s="330" t="s">
        <v>1018</v>
      </c>
      <c r="C778" s="121" t="s">
        <v>401</v>
      </c>
      <c r="D778" s="332" t="s">
        <v>64</v>
      </c>
      <c r="E778" s="332">
        <v>20.78</v>
      </c>
      <c r="F778" s="325">
        <v>18.86</v>
      </c>
      <c r="G778" s="436">
        <f t="shared" si="15"/>
        <v>391.91</v>
      </c>
    </row>
    <row r="779" spans="2:7" hidden="1" outlineLevel="2">
      <c r="B779" s="330" t="s">
        <v>1019</v>
      </c>
      <c r="C779" s="121" t="s">
        <v>1024</v>
      </c>
      <c r="D779" s="332" t="s">
        <v>64</v>
      </c>
      <c r="E779" s="332">
        <v>3.51</v>
      </c>
      <c r="F779" s="325">
        <v>34.979999999999997</v>
      </c>
      <c r="G779" s="436">
        <f t="shared" si="15"/>
        <v>122.78</v>
      </c>
    </row>
    <row r="780" spans="2:7" hidden="1" outlineLevel="2">
      <c r="B780" s="330" t="s">
        <v>1020</v>
      </c>
      <c r="C780" s="121" t="s">
        <v>402</v>
      </c>
      <c r="D780" s="332" t="s">
        <v>64</v>
      </c>
      <c r="E780" s="332">
        <v>34.200000000000003</v>
      </c>
      <c r="F780" s="325">
        <v>21.52</v>
      </c>
      <c r="G780" s="436">
        <f t="shared" si="15"/>
        <v>735.98</v>
      </c>
    </row>
    <row r="781" spans="2:7" hidden="1" outlineLevel="2">
      <c r="B781" s="330" t="s">
        <v>1021</v>
      </c>
      <c r="C781" s="121" t="s">
        <v>403</v>
      </c>
      <c r="D781" s="332" t="s">
        <v>43</v>
      </c>
      <c r="E781" s="332">
        <v>9</v>
      </c>
      <c r="F781" s="325">
        <v>0.54</v>
      </c>
      <c r="G781" s="436">
        <f t="shared" si="15"/>
        <v>4.8600000000000003</v>
      </c>
    </row>
    <row r="782" spans="2:7" hidden="1" outlineLevel="2">
      <c r="B782" s="330" t="s">
        <v>1025</v>
      </c>
      <c r="C782" s="121" t="s">
        <v>404</v>
      </c>
      <c r="D782" s="332" t="s">
        <v>43</v>
      </c>
      <c r="E782" s="332">
        <v>17</v>
      </c>
      <c r="F782" s="325">
        <v>0.81</v>
      </c>
      <c r="G782" s="436">
        <f t="shared" si="15"/>
        <v>13.77</v>
      </c>
    </row>
    <row r="783" spans="2:7" hidden="1" outlineLevel="2">
      <c r="B783" s="330" t="s">
        <v>1026</v>
      </c>
      <c r="C783" s="121" t="s">
        <v>1027</v>
      </c>
      <c r="D783" s="332" t="s">
        <v>43</v>
      </c>
      <c r="E783" s="332">
        <v>11</v>
      </c>
      <c r="F783" s="325">
        <v>1.33</v>
      </c>
      <c r="G783" s="436">
        <f t="shared" si="15"/>
        <v>14.63</v>
      </c>
    </row>
    <row r="784" spans="2:7" hidden="1" outlineLevel="2">
      <c r="B784" s="330" t="s">
        <v>1028</v>
      </c>
      <c r="C784" s="121" t="s">
        <v>1029</v>
      </c>
      <c r="D784" s="332" t="s">
        <v>43</v>
      </c>
      <c r="E784" s="332">
        <v>4</v>
      </c>
      <c r="F784" s="325">
        <v>4.0599999999999996</v>
      </c>
      <c r="G784" s="436">
        <f t="shared" si="15"/>
        <v>16.239999999999998</v>
      </c>
    </row>
    <row r="785" spans="2:7" hidden="1" outlineLevel="2">
      <c r="B785" s="330" t="s">
        <v>1030</v>
      </c>
      <c r="C785" s="121" t="s">
        <v>405</v>
      </c>
      <c r="D785" s="332" t="s">
        <v>43</v>
      </c>
      <c r="E785" s="332">
        <v>8</v>
      </c>
      <c r="F785" s="325">
        <v>5.89</v>
      </c>
      <c r="G785" s="436">
        <f t="shared" si="15"/>
        <v>47.12</v>
      </c>
    </row>
    <row r="786" spans="2:7" hidden="1" outlineLevel="2">
      <c r="B786" s="330" t="s">
        <v>1031</v>
      </c>
      <c r="C786" s="121" t="s">
        <v>1032</v>
      </c>
      <c r="D786" s="332" t="s">
        <v>43</v>
      </c>
      <c r="E786" s="332">
        <v>2</v>
      </c>
      <c r="F786" s="325">
        <v>102.9</v>
      </c>
      <c r="G786" s="436">
        <f t="shared" si="15"/>
        <v>205.8</v>
      </c>
    </row>
    <row r="787" spans="2:7" hidden="1" outlineLevel="2">
      <c r="B787" s="330" t="s">
        <v>1033</v>
      </c>
      <c r="C787" s="121" t="s">
        <v>1034</v>
      </c>
      <c r="D787" s="332" t="s">
        <v>43</v>
      </c>
      <c r="E787" s="332">
        <v>4</v>
      </c>
      <c r="F787" s="325">
        <v>102.9</v>
      </c>
      <c r="G787" s="436">
        <f t="shared" si="15"/>
        <v>411.6</v>
      </c>
    </row>
    <row r="788" spans="2:7" hidden="1" outlineLevel="2">
      <c r="B788" s="330" t="s">
        <v>1033</v>
      </c>
      <c r="C788" s="121" t="s">
        <v>408</v>
      </c>
      <c r="D788" s="332" t="s">
        <v>43</v>
      </c>
      <c r="E788" s="332">
        <v>1</v>
      </c>
      <c r="F788" s="325">
        <v>2.2200000000000002</v>
      </c>
      <c r="G788" s="436">
        <f t="shared" si="15"/>
        <v>2.2200000000000002</v>
      </c>
    </row>
    <row r="789" spans="2:7" hidden="1" outlineLevel="2">
      <c r="B789" s="330" t="s">
        <v>1035</v>
      </c>
      <c r="C789" s="121" t="s">
        <v>410</v>
      </c>
      <c r="D789" s="332" t="s">
        <v>43</v>
      </c>
      <c r="E789" s="332">
        <v>1</v>
      </c>
      <c r="F789" s="325">
        <v>1.67</v>
      </c>
      <c r="G789" s="436">
        <f t="shared" si="15"/>
        <v>1.67</v>
      </c>
    </row>
    <row r="790" spans="2:7" hidden="1" outlineLevel="2">
      <c r="B790" s="330" t="s">
        <v>1036</v>
      </c>
      <c r="C790" s="121" t="s">
        <v>412</v>
      </c>
      <c r="D790" s="332" t="s">
        <v>43</v>
      </c>
      <c r="E790" s="332">
        <v>1</v>
      </c>
      <c r="F790" s="325">
        <v>0.75</v>
      </c>
      <c r="G790" s="436">
        <f t="shared" si="15"/>
        <v>0.75</v>
      </c>
    </row>
    <row r="791" spans="2:7" hidden="1" outlineLevel="2">
      <c r="B791" s="330" t="s">
        <v>1037</v>
      </c>
      <c r="C791" s="121" t="s">
        <v>414</v>
      </c>
      <c r="D791" s="332" t="s">
        <v>43</v>
      </c>
      <c r="E791" s="332">
        <v>2</v>
      </c>
      <c r="F791" s="325">
        <v>63.01</v>
      </c>
      <c r="G791" s="436">
        <f t="shared" si="15"/>
        <v>126.02</v>
      </c>
    </row>
    <row r="792" spans="2:7" hidden="1" outlineLevel="2">
      <c r="B792" s="330" t="s">
        <v>1038</v>
      </c>
      <c r="C792" s="121" t="s">
        <v>416</v>
      </c>
      <c r="D792" s="332" t="s">
        <v>43</v>
      </c>
      <c r="E792" s="332">
        <v>3</v>
      </c>
      <c r="F792" s="325">
        <v>76.180000000000007</v>
      </c>
      <c r="G792" s="436">
        <f t="shared" si="15"/>
        <v>228.54</v>
      </c>
    </row>
    <row r="793" spans="2:7" hidden="1" outlineLevel="2">
      <c r="B793" s="330" t="s">
        <v>1039</v>
      </c>
      <c r="C793" s="121" t="s">
        <v>418</v>
      </c>
      <c r="D793" s="332" t="s">
        <v>43</v>
      </c>
      <c r="E793" s="332">
        <v>6</v>
      </c>
      <c r="F793" s="325">
        <v>0.62</v>
      </c>
      <c r="G793" s="436">
        <f t="shared" si="15"/>
        <v>3.72</v>
      </c>
    </row>
    <row r="794" spans="2:7" hidden="1" outlineLevel="2">
      <c r="B794" s="330" t="s">
        <v>1040</v>
      </c>
      <c r="C794" s="121" t="s">
        <v>1041</v>
      </c>
      <c r="D794" s="332" t="s">
        <v>43</v>
      </c>
      <c r="E794" s="332">
        <v>1</v>
      </c>
      <c r="F794" s="325">
        <v>6.62</v>
      </c>
      <c r="G794" s="436">
        <f t="shared" si="15"/>
        <v>6.62</v>
      </c>
    </row>
    <row r="795" spans="2:7" hidden="1" outlineLevel="2">
      <c r="B795" s="330" t="s">
        <v>1042</v>
      </c>
      <c r="C795" s="121" t="s">
        <v>420</v>
      </c>
      <c r="D795" s="332" t="s">
        <v>43</v>
      </c>
      <c r="E795" s="332">
        <v>3</v>
      </c>
      <c r="F795" s="325">
        <v>2.85</v>
      </c>
      <c r="G795" s="436">
        <f t="shared" si="15"/>
        <v>8.5500000000000007</v>
      </c>
    </row>
    <row r="796" spans="2:7" hidden="1" outlineLevel="2">
      <c r="B796" s="330" t="s">
        <v>1043</v>
      </c>
      <c r="C796" s="121" t="s">
        <v>422</v>
      </c>
      <c r="D796" s="332" t="s">
        <v>43</v>
      </c>
      <c r="E796" s="332">
        <v>7</v>
      </c>
      <c r="F796" s="325">
        <v>0.62</v>
      </c>
      <c r="G796" s="436">
        <f t="shared" si="15"/>
        <v>4.34</v>
      </c>
    </row>
    <row r="797" spans="2:7" hidden="1" outlineLevel="2">
      <c r="B797" s="330" t="s">
        <v>1044</v>
      </c>
      <c r="C797" s="121" t="s">
        <v>1045</v>
      </c>
      <c r="D797" s="332" t="s">
        <v>43</v>
      </c>
      <c r="E797" s="332">
        <v>1</v>
      </c>
      <c r="F797" s="325">
        <v>0.31</v>
      </c>
      <c r="G797" s="436">
        <f t="shared" si="15"/>
        <v>0.31</v>
      </c>
    </row>
    <row r="798" spans="2:7" hidden="1" outlineLevel="2">
      <c r="B798" s="330" t="s">
        <v>1046</v>
      </c>
      <c r="C798" s="121" t="s">
        <v>426</v>
      </c>
      <c r="D798" s="332" t="s">
        <v>43</v>
      </c>
      <c r="E798" s="332">
        <v>2</v>
      </c>
      <c r="F798" s="325">
        <v>3.01</v>
      </c>
      <c r="G798" s="436">
        <f t="shared" si="15"/>
        <v>6.02</v>
      </c>
    </row>
    <row r="799" spans="2:7" hidden="1" outlineLevel="2">
      <c r="B799" s="330" t="s">
        <v>1047</v>
      </c>
      <c r="C799" s="121" t="s">
        <v>428</v>
      </c>
      <c r="D799" s="332" t="s">
        <v>43</v>
      </c>
      <c r="E799" s="332">
        <v>1</v>
      </c>
      <c r="F799" s="325">
        <v>13.53</v>
      </c>
      <c r="G799" s="436">
        <f t="shared" si="15"/>
        <v>13.53</v>
      </c>
    </row>
    <row r="800" spans="2:7" hidden="1" outlineLevel="2">
      <c r="B800" s="330" t="s">
        <v>1048</v>
      </c>
      <c r="C800" s="121" t="s">
        <v>430</v>
      </c>
      <c r="D800" s="332" t="s">
        <v>43</v>
      </c>
      <c r="E800" s="332">
        <v>3</v>
      </c>
      <c r="F800" s="325">
        <v>109.98</v>
      </c>
      <c r="G800" s="436">
        <f t="shared" si="15"/>
        <v>329.94</v>
      </c>
    </row>
    <row r="801" spans="2:7" hidden="1" outlineLevel="2">
      <c r="B801" s="330" t="s">
        <v>1049</v>
      </c>
      <c r="C801" s="121" t="s">
        <v>432</v>
      </c>
      <c r="D801" s="332" t="s">
        <v>43</v>
      </c>
      <c r="E801" s="332">
        <v>5</v>
      </c>
      <c r="F801" s="325">
        <v>1.57</v>
      </c>
      <c r="G801" s="436">
        <f t="shared" si="15"/>
        <v>7.85</v>
      </c>
    </row>
    <row r="802" spans="2:7" hidden="1" outlineLevel="2">
      <c r="B802" s="330" t="s">
        <v>1050</v>
      </c>
      <c r="C802" s="121" t="s">
        <v>434</v>
      </c>
      <c r="D802" s="332" t="s">
        <v>43</v>
      </c>
      <c r="E802" s="332">
        <v>3</v>
      </c>
      <c r="F802" s="325">
        <v>5.8</v>
      </c>
      <c r="G802" s="436">
        <f t="shared" si="15"/>
        <v>17.399999999999999</v>
      </c>
    </row>
    <row r="803" spans="2:7" hidden="1" outlineLevel="2">
      <c r="B803" s="330" t="s">
        <v>1051</v>
      </c>
      <c r="C803" s="121" t="s">
        <v>436</v>
      </c>
      <c r="D803" s="332" t="s">
        <v>43</v>
      </c>
      <c r="E803" s="332">
        <v>2</v>
      </c>
      <c r="F803" s="325">
        <v>379.78</v>
      </c>
      <c r="G803" s="436">
        <f t="shared" si="15"/>
        <v>759.56</v>
      </c>
    </row>
    <row r="804" spans="2:7" hidden="1" outlineLevel="2">
      <c r="B804" s="330" t="s">
        <v>1052</v>
      </c>
      <c r="C804" s="121" t="s">
        <v>438</v>
      </c>
      <c r="D804" s="332" t="s">
        <v>43</v>
      </c>
      <c r="E804" s="332">
        <v>2</v>
      </c>
      <c r="F804" s="325">
        <v>3.17</v>
      </c>
      <c r="G804" s="436">
        <f t="shared" si="15"/>
        <v>6.34</v>
      </c>
    </row>
    <row r="805" spans="2:7" hidden="1" outlineLevel="2">
      <c r="B805" s="330" t="s">
        <v>1053</v>
      </c>
      <c r="C805" s="121" t="s">
        <v>1054</v>
      </c>
      <c r="D805" s="332" t="s">
        <v>43</v>
      </c>
      <c r="E805" s="332">
        <v>1</v>
      </c>
      <c r="F805" s="325">
        <v>3.79</v>
      </c>
      <c r="G805" s="436">
        <f t="shared" si="15"/>
        <v>3.79</v>
      </c>
    </row>
    <row r="806" spans="2:7" hidden="1" outlineLevel="2">
      <c r="B806" s="330" t="s">
        <v>1055</v>
      </c>
      <c r="C806" s="121" t="s">
        <v>440</v>
      </c>
      <c r="D806" s="332" t="s">
        <v>441</v>
      </c>
      <c r="E806" s="332">
        <v>1</v>
      </c>
      <c r="F806" s="325">
        <v>66.98</v>
      </c>
      <c r="G806" s="436">
        <f t="shared" si="15"/>
        <v>66.98</v>
      </c>
    </row>
    <row r="807" spans="2:7" hidden="1" outlineLevel="2">
      <c r="B807" s="330" t="s">
        <v>1056</v>
      </c>
      <c r="C807" s="121" t="s">
        <v>443</v>
      </c>
      <c r="D807" s="332" t="s">
        <v>441</v>
      </c>
      <c r="E807" s="332">
        <v>1</v>
      </c>
      <c r="F807" s="325">
        <v>87.63</v>
      </c>
      <c r="G807" s="436">
        <f t="shared" si="15"/>
        <v>87.63</v>
      </c>
    </row>
    <row r="808" spans="2:7" hidden="1" outlineLevel="2">
      <c r="B808" s="330" t="s">
        <v>1057</v>
      </c>
      <c r="C808" s="121" t="s">
        <v>445</v>
      </c>
      <c r="D808" s="332" t="s">
        <v>43</v>
      </c>
      <c r="E808" s="332">
        <v>1</v>
      </c>
      <c r="F808" s="325">
        <v>12.36</v>
      </c>
      <c r="G808" s="436">
        <f t="shared" si="15"/>
        <v>12.36</v>
      </c>
    </row>
    <row r="809" spans="2:7" hidden="1" outlineLevel="2">
      <c r="B809" s="330" t="s">
        <v>1058</v>
      </c>
      <c r="C809" s="121" t="s">
        <v>447</v>
      </c>
      <c r="D809" s="332" t="s">
        <v>43</v>
      </c>
      <c r="E809" s="332">
        <v>2</v>
      </c>
      <c r="F809" s="325">
        <v>268.48</v>
      </c>
      <c r="G809" s="436">
        <f t="shared" si="15"/>
        <v>536.96</v>
      </c>
    </row>
    <row r="810" spans="2:7" hidden="1" outlineLevel="2">
      <c r="B810" s="330" t="s">
        <v>1059</v>
      </c>
      <c r="C810" s="121" t="s">
        <v>1060</v>
      </c>
      <c r="D810" s="332" t="s">
        <v>43</v>
      </c>
      <c r="E810" s="332">
        <v>1</v>
      </c>
      <c r="F810" s="325">
        <v>1003.05</v>
      </c>
      <c r="G810" s="436">
        <f t="shared" si="15"/>
        <v>1003.05</v>
      </c>
    </row>
    <row r="811" spans="2:7" hidden="1" outlineLevel="2">
      <c r="B811" s="330" t="s">
        <v>1061</v>
      </c>
      <c r="C811" s="121" t="s">
        <v>449</v>
      </c>
      <c r="D811" s="332" t="s">
        <v>43</v>
      </c>
      <c r="E811" s="332">
        <v>77</v>
      </c>
      <c r="F811" s="325">
        <v>7.16</v>
      </c>
      <c r="G811" s="436">
        <f t="shared" si="15"/>
        <v>551.32000000000005</v>
      </c>
    </row>
    <row r="812" spans="2:7" hidden="1" outlineLevel="1" collapsed="1">
      <c r="B812" s="331" t="s">
        <v>1062</v>
      </c>
      <c r="C812" s="324" t="s">
        <v>1063</v>
      </c>
      <c r="D812" s="332"/>
      <c r="E812" s="332"/>
      <c r="F812" s="325"/>
      <c r="G812" s="435">
        <f>+SUBTOTAL(9,G813:G862)</f>
        <v>49851.03</v>
      </c>
    </row>
    <row r="813" spans="2:7" hidden="1" outlineLevel="2">
      <c r="B813" s="331" t="s">
        <v>1064</v>
      </c>
      <c r="C813" s="324" t="s">
        <v>54</v>
      </c>
      <c r="D813" s="332"/>
      <c r="E813" s="332"/>
      <c r="F813" s="325"/>
      <c r="G813" s="435">
        <f>+SUBTOTAL(9,G814:G815)</f>
        <v>4487.0599999999995</v>
      </c>
    </row>
    <row r="814" spans="2:7" hidden="1" outlineLevel="2">
      <c r="B814" s="330" t="s">
        <v>1065</v>
      </c>
      <c r="C814" s="121" t="s">
        <v>56</v>
      </c>
      <c r="D814" s="332" t="s">
        <v>57</v>
      </c>
      <c r="E814" s="332">
        <v>33.75</v>
      </c>
      <c r="F814" s="325">
        <v>68.64</v>
      </c>
      <c r="G814" s="436">
        <f>ROUND(E814*F814,2)</f>
        <v>2316.6</v>
      </c>
    </row>
    <row r="815" spans="2:7" hidden="1" outlineLevel="2">
      <c r="B815" s="330" t="s">
        <v>1066</v>
      </c>
      <c r="C815" s="121" t="s">
        <v>199</v>
      </c>
      <c r="D815" s="332" t="s">
        <v>57</v>
      </c>
      <c r="E815" s="332">
        <v>33.75</v>
      </c>
      <c r="F815" s="325">
        <v>64.31</v>
      </c>
      <c r="G815" s="436">
        <f>ROUND(E815*F815,2)</f>
        <v>2170.46</v>
      </c>
    </row>
    <row r="816" spans="2:7" hidden="1" outlineLevel="2">
      <c r="B816" s="331" t="s">
        <v>1067</v>
      </c>
      <c r="C816" s="324" t="s">
        <v>66</v>
      </c>
      <c r="D816" s="332"/>
      <c r="E816" s="332"/>
      <c r="F816" s="325"/>
      <c r="G816" s="435">
        <f>+SUBTOTAL(9,G817:G820)</f>
        <v>4949.72</v>
      </c>
    </row>
    <row r="817" spans="2:7" hidden="1" outlineLevel="2">
      <c r="B817" s="330" t="s">
        <v>1068</v>
      </c>
      <c r="C817" s="121" t="s">
        <v>71</v>
      </c>
      <c r="D817" s="332" t="s">
        <v>69</v>
      </c>
      <c r="E817" s="332">
        <v>13.89</v>
      </c>
      <c r="F817" s="325">
        <v>294</v>
      </c>
      <c r="G817" s="436">
        <f>ROUND(E817*F817,2)</f>
        <v>4083.66</v>
      </c>
    </row>
    <row r="818" spans="2:7" hidden="1" outlineLevel="2">
      <c r="B818" s="330" t="s">
        <v>1069</v>
      </c>
      <c r="C818" s="121" t="s">
        <v>73</v>
      </c>
      <c r="D818" s="332" t="s">
        <v>57</v>
      </c>
      <c r="E818" s="332">
        <v>12.66</v>
      </c>
      <c r="F818" s="325">
        <v>14.12</v>
      </c>
      <c r="G818" s="436">
        <f>ROUND(E818*F818,2)</f>
        <v>178.76</v>
      </c>
    </row>
    <row r="819" spans="2:7" hidden="1" outlineLevel="2">
      <c r="B819" s="330" t="s">
        <v>1070</v>
      </c>
      <c r="C819" s="121" t="s">
        <v>75</v>
      </c>
      <c r="D819" s="332" t="s">
        <v>69</v>
      </c>
      <c r="E819" s="332">
        <v>5.15</v>
      </c>
      <c r="F819" s="325">
        <v>96.56</v>
      </c>
      <c r="G819" s="436">
        <f>ROUND(E819*F819,2)</f>
        <v>497.28</v>
      </c>
    </row>
    <row r="820" spans="2:7" hidden="1" outlineLevel="2">
      <c r="B820" s="330" t="s">
        <v>1071</v>
      </c>
      <c r="C820" s="121" t="s">
        <v>77</v>
      </c>
      <c r="D820" s="332" t="s">
        <v>69</v>
      </c>
      <c r="E820" s="332">
        <v>13.89</v>
      </c>
      <c r="F820" s="325">
        <v>13.68</v>
      </c>
      <c r="G820" s="436">
        <f>ROUND(E820*F820,2)</f>
        <v>190.02</v>
      </c>
    </row>
    <row r="821" spans="2:7" hidden="1" outlineLevel="2">
      <c r="B821" s="331" t="s">
        <v>1072</v>
      </c>
      <c r="C821" s="324" t="s">
        <v>79</v>
      </c>
      <c r="D821" s="332"/>
      <c r="E821" s="332"/>
      <c r="F821" s="325"/>
      <c r="G821" s="435">
        <f>+SUBTOTAL(9,G822:G825)</f>
        <v>2739.4300000000003</v>
      </c>
    </row>
    <row r="822" spans="2:7" hidden="1" outlineLevel="2">
      <c r="B822" s="330" t="s">
        <v>1073</v>
      </c>
      <c r="C822" s="121" t="s">
        <v>81</v>
      </c>
      <c r="D822" s="332" t="s">
        <v>69</v>
      </c>
      <c r="E822" s="332">
        <v>0.68</v>
      </c>
      <c r="F822" s="325">
        <v>398.62</v>
      </c>
      <c r="G822" s="436">
        <f>ROUND(E822*F822,2)</f>
        <v>271.06</v>
      </c>
    </row>
    <row r="823" spans="2:7" hidden="1" outlineLevel="2">
      <c r="B823" s="330" t="s">
        <v>1074</v>
      </c>
      <c r="C823" s="121" t="s">
        <v>318</v>
      </c>
      <c r="D823" s="332" t="s">
        <v>69</v>
      </c>
      <c r="E823" s="332">
        <v>4.0999999999999996</v>
      </c>
      <c r="F823" s="325">
        <v>353.53</v>
      </c>
      <c r="G823" s="436">
        <f>ROUND(E823*F823,2)</f>
        <v>1449.47</v>
      </c>
    </row>
    <row r="824" spans="2:7" hidden="1" outlineLevel="2">
      <c r="B824" s="330" t="s">
        <v>1075</v>
      </c>
      <c r="C824" s="121" t="s">
        <v>320</v>
      </c>
      <c r="D824" s="332" t="s">
        <v>69</v>
      </c>
      <c r="E824" s="332">
        <v>0.96</v>
      </c>
      <c r="F824" s="325">
        <v>415.41</v>
      </c>
      <c r="G824" s="436">
        <f>ROUND(E824*F824,2)</f>
        <v>398.79</v>
      </c>
    </row>
    <row r="825" spans="2:7" hidden="1" outlineLevel="2">
      <c r="B825" s="330" t="s">
        <v>1076</v>
      </c>
      <c r="C825" s="121" t="s">
        <v>322</v>
      </c>
      <c r="D825" s="332" t="s">
        <v>57</v>
      </c>
      <c r="E825" s="332">
        <v>12.86</v>
      </c>
      <c r="F825" s="325">
        <v>48.22</v>
      </c>
      <c r="G825" s="436">
        <f>ROUND(E825*F825,2)</f>
        <v>620.11</v>
      </c>
    </row>
    <row r="826" spans="2:7" hidden="1" outlineLevel="2">
      <c r="B826" s="331" t="s">
        <v>1077</v>
      </c>
      <c r="C826" s="324" t="s">
        <v>85</v>
      </c>
      <c r="D826" s="332"/>
      <c r="E826" s="332"/>
      <c r="F826" s="325"/>
      <c r="G826" s="435">
        <f>+SUBTOTAL(9,G827:G841)</f>
        <v>20909.830000000002</v>
      </c>
    </row>
    <row r="827" spans="2:7" hidden="1" outlineLevel="2">
      <c r="B827" s="331" t="s">
        <v>1078</v>
      </c>
      <c r="C827" s="324" t="s">
        <v>974</v>
      </c>
      <c r="D827" s="332"/>
      <c r="E827" s="332"/>
      <c r="F827" s="325"/>
      <c r="G827" s="435">
        <f>+SUBTOTAL(9,G828:G829)</f>
        <v>2365.48</v>
      </c>
    </row>
    <row r="828" spans="2:7" hidden="1" outlineLevel="2">
      <c r="B828" s="330" t="s">
        <v>1079</v>
      </c>
      <c r="C828" s="121" t="s">
        <v>1080</v>
      </c>
      <c r="D828" s="332" t="s">
        <v>69</v>
      </c>
      <c r="E828" s="332">
        <v>3.41</v>
      </c>
      <c r="F828" s="325">
        <v>485.32</v>
      </c>
      <c r="G828" s="436">
        <f>ROUND(E828*F828,2)</f>
        <v>1654.94</v>
      </c>
    </row>
    <row r="829" spans="2:7" hidden="1" outlineLevel="2">
      <c r="B829" s="330" t="s">
        <v>1081</v>
      </c>
      <c r="C829" s="121" t="s">
        <v>93</v>
      </c>
      <c r="D829" s="332" t="s">
        <v>94</v>
      </c>
      <c r="E829" s="332">
        <v>96.41</v>
      </c>
      <c r="F829" s="325">
        <v>7.37</v>
      </c>
      <c r="G829" s="436">
        <f>ROUND(E829*F829,2)</f>
        <v>710.54</v>
      </c>
    </row>
    <row r="830" spans="2:7" hidden="1" outlineLevel="2">
      <c r="B830" s="331" t="s">
        <v>1082</v>
      </c>
      <c r="C830" s="324" t="s">
        <v>227</v>
      </c>
      <c r="D830" s="332"/>
      <c r="E830" s="332"/>
      <c r="F830" s="325"/>
      <c r="G830" s="435">
        <f>+SUBTOTAL(9,G831:G833)</f>
        <v>4710.16</v>
      </c>
    </row>
    <row r="831" spans="2:7" hidden="1" outlineLevel="2">
      <c r="B831" s="330" t="s">
        <v>1083</v>
      </c>
      <c r="C831" s="121" t="s">
        <v>1084</v>
      </c>
      <c r="D831" s="332" t="s">
        <v>69</v>
      </c>
      <c r="E831" s="332">
        <v>1.5</v>
      </c>
      <c r="F831" s="325">
        <v>618.65</v>
      </c>
      <c r="G831" s="436">
        <f>ROUND(E831*F831,2)</f>
        <v>927.98</v>
      </c>
    </row>
    <row r="832" spans="2:7" hidden="1" outlineLevel="2">
      <c r="B832" s="330" t="s">
        <v>1085</v>
      </c>
      <c r="C832" s="121" t="s">
        <v>231</v>
      </c>
      <c r="D832" s="332" t="s">
        <v>57</v>
      </c>
      <c r="E832" s="332">
        <v>21.6</v>
      </c>
      <c r="F832" s="325">
        <v>65.900000000000006</v>
      </c>
      <c r="G832" s="436">
        <f>ROUND(E832*F832,2)</f>
        <v>1423.44</v>
      </c>
    </row>
    <row r="833" spans="2:7" hidden="1" outlineLevel="2">
      <c r="B833" s="330" t="s">
        <v>1086</v>
      </c>
      <c r="C833" s="121" t="s">
        <v>233</v>
      </c>
      <c r="D833" s="332" t="s">
        <v>94</v>
      </c>
      <c r="E833" s="332">
        <v>315.33999999999997</v>
      </c>
      <c r="F833" s="325">
        <v>7.48</v>
      </c>
      <c r="G833" s="436">
        <f>ROUND(E833*F833,2)</f>
        <v>2358.7399999999998</v>
      </c>
    </row>
    <row r="834" spans="2:7" hidden="1" outlineLevel="2">
      <c r="B834" s="331" t="s">
        <v>1087</v>
      </c>
      <c r="C834" s="324" t="s">
        <v>241</v>
      </c>
      <c r="D834" s="332"/>
      <c r="E834" s="332"/>
      <c r="F834" s="325"/>
      <c r="G834" s="435">
        <f>+SUBTOTAL(9,G835:G837)</f>
        <v>5064.42</v>
      </c>
    </row>
    <row r="835" spans="2:7" hidden="1" outlineLevel="2">
      <c r="B835" s="330" t="s">
        <v>1088</v>
      </c>
      <c r="C835" s="121" t="s">
        <v>1089</v>
      </c>
      <c r="D835" s="332" t="s">
        <v>69</v>
      </c>
      <c r="E835" s="332">
        <v>2.56</v>
      </c>
      <c r="F835" s="325">
        <v>563.16999999999996</v>
      </c>
      <c r="G835" s="436">
        <f>ROUND(E835*F835,2)</f>
        <v>1441.72</v>
      </c>
    </row>
    <row r="836" spans="2:7" hidden="1" outlineLevel="2">
      <c r="B836" s="330" t="s">
        <v>1090</v>
      </c>
      <c r="C836" s="121" t="s">
        <v>122</v>
      </c>
      <c r="D836" s="332" t="s">
        <v>57</v>
      </c>
      <c r="E836" s="332">
        <v>19.12</v>
      </c>
      <c r="F836" s="325">
        <v>75.39</v>
      </c>
      <c r="G836" s="436">
        <f>ROUND(E836*F836,2)</f>
        <v>1441.46</v>
      </c>
    </row>
    <row r="837" spans="2:7" hidden="1" outlineLevel="2">
      <c r="B837" s="330" t="s">
        <v>1091</v>
      </c>
      <c r="C837" s="121" t="s">
        <v>336</v>
      </c>
      <c r="D837" s="332" t="s">
        <v>94</v>
      </c>
      <c r="E837" s="332">
        <v>291.61</v>
      </c>
      <c r="F837" s="325">
        <v>7.48</v>
      </c>
      <c r="G837" s="436">
        <f>ROUND(E837*F837,2)</f>
        <v>2181.2399999999998</v>
      </c>
    </row>
    <row r="838" spans="2:7" hidden="1" outlineLevel="2">
      <c r="B838" s="331" t="s">
        <v>1092</v>
      </c>
      <c r="C838" s="324" t="s">
        <v>695</v>
      </c>
      <c r="D838" s="332"/>
      <c r="E838" s="332"/>
      <c r="F838" s="325"/>
      <c r="G838" s="435">
        <f>+SUBTOTAL(9,G839:G841)</f>
        <v>8769.77</v>
      </c>
    </row>
    <row r="839" spans="2:7" hidden="1" outlineLevel="2">
      <c r="B839" s="330" t="s">
        <v>1093</v>
      </c>
      <c r="C839" s="121" t="s">
        <v>507</v>
      </c>
      <c r="D839" s="332" t="s">
        <v>69</v>
      </c>
      <c r="E839" s="332">
        <v>5.6</v>
      </c>
      <c r="F839" s="325">
        <v>563.16999999999996</v>
      </c>
      <c r="G839" s="436">
        <f>ROUND(E839*F839,2)</f>
        <v>3153.75</v>
      </c>
    </row>
    <row r="840" spans="2:7" hidden="1" outlineLevel="2">
      <c r="B840" s="330" t="s">
        <v>1094</v>
      </c>
      <c r="C840" s="121" t="s">
        <v>252</v>
      </c>
      <c r="D840" s="332" t="s">
        <v>57</v>
      </c>
      <c r="E840" s="332">
        <v>41.31</v>
      </c>
      <c r="F840" s="325">
        <v>60.67</v>
      </c>
      <c r="G840" s="436">
        <f>ROUND(E840*F840,2)</f>
        <v>2506.2800000000002</v>
      </c>
    </row>
    <row r="841" spans="2:7" hidden="1" outlineLevel="2">
      <c r="B841" s="330" t="s">
        <v>1095</v>
      </c>
      <c r="C841" s="121" t="s">
        <v>254</v>
      </c>
      <c r="D841" s="332" t="s">
        <v>94</v>
      </c>
      <c r="E841" s="332">
        <v>415.74</v>
      </c>
      <c r="F841" s="325">
        <v>7.48</v>
      </c>
      <c r="G841" s="436">
        <f>ROUND(E841*F841,2)</f>
        <v>3109.74</v>
      </c>
    </row>
    <row r="842" spans="2:7" hidden="1" outlineLevel="2">
      <c r="B842" s="331" t="s">
        <v>1096</v>
      </c>
      <c r="C842" s="324" t="s">
        <v>134</v>
      </c>
      <c r="D842" s="332"/>
      <c r="E842" s="332"/>
      <c r="F842" s="325"/>
      <c r="G842" s="435">
        <f>+SUBTOTAL(9,G843:G849)</f>
        <v>5476.4099999999989</v>
      </c>
    </row>
    <row r="843" spans="2:7" ht="30" hidden="1" outlineLevel="2">
      <c r="B843" s="330" t="s">
        <v>1097</v>
      </c>
      <c r="C843" s="121" t="s">
        <v>348</v>
      </c>
      <c r="D843" s="332" t="s">
        <v>57</v>
      </c>
      <c r="E843" s="332">
        <v>47.18</v>
      </c>
      <c r="F843" s="325">
        <v>27.37</v>
      </c>
      <c r="G843" s="436">
        <f t="shared" ref="G843:G849" si="16">ROUND(E843*F843,2)</f>
        <v>1291.32</v>
      </c>
    </row>
    <row r="844" spans="2:7" ht="30" hidden="1" outlineLevel="2">
      <c r="B844" s="330" t="s">
        <v>1098</v>
      </c>
      <c r="C844" s="121" t="s">
        <v>350</v>
      </c>
      <c r="D844" s="332" t="s">
        <v>57</v>
      </c>
      <c r="E844" s="332">
        <v>56.03</v>
      </c>
      <c r="F844" s="325">
        <v>27.37</v>
      </c>
      <c r="G844" s="436">
        <f t="shared" si="16"/>
        <v>1533.54</v>
      </c>
    </row>
    <row r="845" spans="2:7" ht="30" hidden="1" outlineLevel="2">
      <c r="B845" s="330" t="s">
        <v>1099</v>
      </c>
      <c r="C845" s="121" t="s">
        <v>352</v>
      </c>
      <c r="D845" s="332" t="s">
        <v>57</v>
      </c>
      <c r="E845" s="332">
        <v>37.229999999999997</v>
      </c>
      <c r="F845" s="325">
        <v>27.37</v>
      </c>
      <c r="G845" s="436">
        <f t="shared" si="16"/>
        <v>1018.99</v>
      </c>
    </row>
    <row r="846" spans="2:7" ht="30" hidden="1" outlineLevel="2">
      <c r="B846" s="330" t="s">
        <v>1100</v>
      </c>
      <c r="C846" s="121" t="s">
        <v>354</v>
      </c>
      <c r="D846" s="332" t="s">
        <v>57</v>
      </c>
      <c r="E846" s="332">
        <v>4.08</v>
      </c>
      <c r="F846" s="325">
        <v>27.37</v>
      </c>
      <c r="G846" s="436">
        <f t="shared" si="16"/>
        <v>111.67</v>
      </c>
    </row>
    <row r="847" spans="2:7" hidden="1" outlineLevel="2">
      <c r="B847" s="330" t="s">
        <v>1101</v>
      </c>
      <c r="C847" s="121" t="s">
        <v>1102</v>
      </c>
      <c r="D847" s="332" t="s">
        <v>57</v>
      </c>
      <c r="E847" s="332">
        <v>1</v>
      </c>
      <c r="F847" s="325">
        <v>27.37</v>
      </c>
      <c r="G847" s="436">
        <f t="shared" si="16"/>
        <v>27.37</v>
      </c>
    </row>
    <row r="848" spans="2:7" hidden="1" outlineLevel="2">
      <c r="B848" s="330" t="s">
        <v>1103</v>
      </c>
      <c r="C848" s="121" t="s">
        <v>277</v>
      </c>
      <c r="D848" s="332" t="s">
        <v>64</v>
      </c>
      <c r="E848" s="332">
        <v>53.86</v>
      </c>
      <c r="F848" s="325">
        <v>17.440000000000001</v>
      </c>
      <c r="G848" s="436">
        <f t="shared" si="16"/>
        <v>939.32</v>
      </c>
    </row>
    <row r="849" spans="2:7" hidden="1" outlineLevel="2">
      <c r="B849" s="330" t="s">
        <v>1104</v>
      </c>
      <c r="C849" s="121" t="s">
        <v>156</v>
      </c>
      <c r="D849" s="332" t="s">
        <v>57</v>
      </c>
      <c r="E849" s="332">
        <v>129.79</v>
      </c>
      <c r="F849" s="325">
        <v>4.2699999999999996</v>
      </c>
      <c r="G849" s="436">
        <f t="shared" si="16"/>
        <v>554.20000000000005</v>
      </c>
    </row>
    <row r="850" spans="2:7" hidden="1" outlineLevel="2">
      <c r="B850" s="331" t="s">
        <v>1105</v>
      </c>
      <c r="C850" s="324" t="s">
        <v>158</v>
      </c>
      <c r="D850" s="332"/>
      <c r="E850" s="332"/>
      <c r="F850" s="325"/>
      <c r="G850" s="435">
        <f>+SUBTOTAL(9,G851)</f>
        <v>785.91</v>
      </c>
    </row>
    <row r="851" spans="2:7" hidden="1" outlineLevel="2">
      <c r="B851" s="330" t="s">
        <v>1106</v>
      </c>
      <c r="C851" s="121" t="s">
        <v>1107</v>
      </c>
      <c r="D851" s="332" t="s">
        <v>57</v>
      </c>
      <c r="E851" s="332">
        <v>30.45</v>
      </c>
      <c r="F851" s="325">
        <v>25.81</v>
      </c>
      <c r="G851" s="436">
        <f>ROUND(E851*F851,2)</f>
        <v>785.91</v>
      </c>
    </row>
    <row r="852" spans="2:7" hidden="1" outlineLevel="2">
      <c r="B852" s="331" t="s">
        <v>1108</v>
      </c>
      <c r="C852" s="324" t="s">
        <v>162</v>
      </c>
      <c r="D852" s="332"/>
      <c r="E852" s="332"/>
      <c r="F852" s="325"/>
      <c r="G852" s="435">
        <f>+SUBTOTAL(9,G853:G854)</f>
        <v>7828.55</v>
      </c>
    </row>
    <row r="853" spans="2:7" hidden="1" outlineLevel="2">
      <c r="B853" s="330" t="s">
        <v>1109</v>
      </c>
      <c r="C853" s="121" t="s">
        <v>1110</v>
      </c>
      <c r="D853" s="332" t="s">
        <v>287</v>
      </c>
      <c r="E853" s="332">
        <v>1</v>
      </c>
      <c r="F853" s="325">
        <v>3753</v>
      </c>
      <c r="G853" s="436">
        <f>ROUND(E853*F853,2)</f>
        <v>3753</v>
      </c>
    </row>
    <row r="854" spans="2:7" hidden="1" outlineLevel="2">
      <c r="B854" s="330" t="s">
        <v>1111</v>
      </c>
      <c r="C854" s="121" t="s">
        <v>289</v>
      </c>
      <c r="D854" s="332" t="s">
        <v>287</v>
      </c>
      <c r="E854" s="332">
        <v>5</v>
      </c>
      <c r="F854" s="325">
        <v>815.11</v>
      </c>
      <c r="G854" s="436">
        <f>ROUND(E854*F854,2)</f>
        <v>4075.55</v>
      </c>
    </row>
    <row r="855" spans="2:7" hidden="1" outlineLevel="2">
      <c r="B855" s="331" t="s">
        <v>1112</v>
      </c>
      <c r="C855" s="324" t="s">
        <v>174</v>
      </c>
      <c r="D855" s="332"/>
      <c r="E855" s="332"/>
      <c r="F855" s="325"/>
      <c r="G855" s="435">
        <f>+SUBTOTAL(9,G856:G858)</f>
        <v>1556.3500000000001</v>
      </c>
    </row>
    <row r="856" spans="2:7" hidden="1" outlineLevel="2">
      <c r="B856" s="330" t="s">
        <v>1113</v>
      </c>
      <c r="C856" s="121" t="s">
        <v>294</v>
      </c>
      <c r="D856" s="332" t="s">
        <v>57</v>
      </c>
      <c r="E856" s="332">
        <v>47.18</v>
      </c>
      <c r="F856" s="325">
        <v>9.8000000000000007</v>
      </c>
      <c r="G856" s="436">
        <f>ROUND(E856*F856,2)</f>
        <v>462.36</v>
      </c>
    </row>
    <row r="857" spans="2:7" hidden="1" outlineLevel="2">
      <c r="B857" s="330" t="s">
        <v>1114</v>
      </c>
      <c r="C857" s="121" t="s">
        <v>296</v>
      </c>
      <c r="D857" s="332" t="s">
        <v>57</v>
      </c>
      <c r="E857" s="332">
        <v>56.03</v>
      </c>
      <c r="F857" s="325">
        <v>10.32</v>
      </c>
      <c r="G857" s="436">
        <f>ROUND(E857*F857,2)</f>
        <v>578.23</v>
      </c>
    </row>
    <row r="858" spans="2:7" hidden="1" outlineLevel="2">
      <c r="B858" s="330" t="s">
        <v>1115</v>
      </c>
      <c r="C858" s="121" t="s">
        <v>298</v>
      </c>
      <c r="D858" s="332" t="s">
        <v>57</v>
      </c>
      <c r="E858" s="332">
        <v>42.31</v>
      </c>
      <c r="F858" s="325">
        <v>12.19</v>
      </c>
      <c r="G858" s="436">
        <f>ROUND(E858*F858,2)</f>
        <v>515.76</v>
      </c>
    </row>
    <row r="859" spans="2:7" hidden="1" outlineLevel="2">
      <c r="B859" s="331" t="s">
        <v>1116</v>
      </c>
      <c r="C859" s="324" t="s">
        <v>178</v>
      </c>
      <c r="D859" s="332"/>
      <c r="E859" s="332"/>
      <c r="F859" s="325"/>
      <c r="G859" s="435">
        <f>+SUBTOTAL(9,G860)</f>
        <v>143.25</v>
      </c>
    </row>
    <row r="860" spans="2:7" hidden="1" outlineLevel="2">
      <c r="B860" s="330" t="s">
        <v>1117</v>
      </c>
      <c r="C860" s="121" t="s">
        <v>183</v>
      </c>
      <c r="D860" s="332" t="s">
        <v>43</v>
      </c>
      <c r="E860" s="332">
        <v>5</v>
      </c>
      <c r="F860" s="325">
        <v>28.65</v>
      </c>
      <c r="G860" s="436">
        <f>ROUND(E860*F860,2)</f>
        <v>143.25</v>
      </c>
    </row>
    <row r="861" spans="2:7" hidden="1" outlineLevel="2">
      <c r="B861" s="331" t="s">
        <v>1118</v>
      </c>
      <c r="C861" s="324" t="s">
        <v>185</v>
      </c>
      <c r="D861" s="332"/>
      <c r="E861" s="332"/>
      <c r="F861" s="325"/>
      <c r="G861" s="435">
        <f>+SUBTOTAL(9,G862)</f>
        <v>974.52</v>
      </c>
    </row>
    <row r="862" spans="2:7" hidden="1" outlineLevel="2">
      <c r="B862" s="330" t="s">
        <v>1117</v>
      </c>
      <c r="C862" s="121" t="s">
        <v>193</v>
      </c>
      <c r="D862" s="332" t="s">
        <v>57</v>
      </c>
      <c r="E862" s="332">
        <v>94.89</v>
      </c>
      <c r="F862" s="325">
        <v>10.27</v>
      </c>
      <c r="G862" s="436">
        <f>ROUND(E862*F862,2)</f>
        <v>974.52</v>
      </c>
    </row>
    <row r="863" spans="2:7" hidden="1" outlineLevel="1" collapsed="1">
      <c r="B863" s="331" t="s">
        <v>1119</v>
      </c>
      <c r="C863" s="324" t="s">
        <v>1120</v>
      </c>
      <c r="D863" s="332"/>
      <c r="E863" s="332"/>
      <c r="F863" s="325"/>
      <c r="G863" s="435">
        <f>+SUBTOTAL(9,G864:G912)</f>
        <v>44718.410000000011</v>
      </c>
    </row>
    <row r="864" spans="2:7" hidden="1" outlineLevel="2">
      <c r="B864" s="331" t="s">
        <v>1121</v>
      </c>
      <c r="C864" s="324" t="s">
        <v>54</v>
      </c>
      <c r="D864" s="332"/>
      <c r="E864" s="332"/>
      <c r="F864" s="325"/>
      <c r="G864" s="435">
        <f>+SUBTOTAL(9,G865:G866)</f>
        <v>3540.46</v>
      </c>
    </row>
    <row r="865" spans="2:7" hidden="1" outlineLevel="2">
      <c r="B865" s="330" t="s">
        <v>1122</v>
      </c>
      <c r="C865" s="121" t="s">
        <v>56</v>
      </c>
      <c r="D865" s="332" t="s">
        <v>57</v>
      </c>
      <c r="E865" s="332">
        <v>26.63</v>
      </c>
      <c r="F865" s="325">
        <v>68.64</v>
      </c>
      <c r="G865" s="436">
        <f>ROUND(E865*F865,2)</f>
        <v>1827.88</v>
      </c>
    </row>
    <row r="866" spans="2:7" hidden="1" outlineLevel="2">
      <c r="B866" s="330" t="s">
        <v>1123</v>
      </c>
      <c r="C866" s="121" t="s">
        <v>199</v>
      </c>
      <c r="D866" s="332" t="s">
        <v>57</v>
      </c>
      <c r="E866" s="332">
        <v>26.63</v>
      </c>
      <c r="F866" s="325">
        <v>64.31</v>
      </c>
      <c r="G866" s="436">
        <f>ROUND(E866*F866,2)</f>
        <v>1712.58</v>
      </c>
    </row>
    <row r="867" spans="2:7" hidden="1" outlineLevel="2">
      <c r="B867" s="331" t="s">
        <v>1124</v>
      </c>
      <c r="C867" s="324" t="s">
        <v>66</v>
      </c>
      <c r="D867" s="332"/>
      <c r="E867" s="332"/>
      <c r="F867" s="325"/>
      <c r="G867" s="435">
        <f>+SUBTOTAL(9,G868:G871)</f>
        <v>5123.1600000000008</v>
      </c>
    </row>
    <row r="868" spans="2:7" hidden="1" outlineLevel="2">
      <c r="B868" s="330" t="s">
        <v>1125</v>
      </c>
      <c r="C868" s="121" t="s">
        <v>71</v>
      </c>
      <c r="D868" s="332" t="s">
        <v>69</v>
      </c>
      <c r="E868" s="332">
        <v>14.34</v>
      </c>
      <c r="F868" s="325">
        <v>294</v>
      </c>
      <c r="G868" s="436">
        <f>ROUND(E868*F868,2)</f>
        <v>4215.96</v>
      </c>
    </row>
    <row r="869" spans="2:7" hidden="1" outlineLevel="2">
      <c r="B869" s="330" t="s">
        <v>1126</v>
      </c>
      <c r="C869" s="121" t="s">
        <v>73</v>
      </c>
      <c r="D869" s="332" t="s">
        <v>57</v>
      </c>
      <c r="E869" s="332">
        <v>12.95</v>
      </c>
      <c r="F869" s="325">
        <v>14.12</v>
      </c>
      <c r="G869" s="436">
        <f>ROUND(E869*F869,2)</f>
        <v>182.85</v>
      </c>
    </row>
    <row r="870" spans="2:7" hidden="1" outlineLevel="2">
      <c r="B870" s="330" t="s">
        <v>1127</v>
      </c>
      <c r="C870" s="121" t="s">
        <v>75</v>
      </c>
      <c r="D870" s="332" t="s">
        <v>69</v>
      </c>
      <c r="E870" s="332">
        <v>5.47</v>
      </c>
      <c r="F870" s="325">
        <v>96.56</v>
      </c>
      <c r="G870" s="436">
        <f>ROUND(E870*F870,2)</f>
        <v>528.17999999999995</v>
      </c>
    </row>
    <row r="871" spans="2:7" hidden="1" outlineLevel="2">
      <c r="B871" s="330" t="s">
        <v>1128</v>
      </c>
      <c r="C871" s="121" t="s">
        <v>77</v>
      </c>
      <c r="D871" s="332" t="s">
        <v>69</v>
      </c>
      <c r="E871" s="332">
        <v>14.34</v>
      </c>
      <c r="F871" s="325">
        <v>13.68</v>
      </c>
      <c r="G871" s="436">
        <f>ROUND(E871*F871,2)</f>
        <v>196.17</v>
      </c>
    </row>
    <row r="872" spans="2:7" hidden="1" outlineLevel="2">
      <c r="B872" s="331" t="s">
        <v>1129</v>
      </c>
      <c r="C872" s="324" t="s">
        <v>79</v>
      </c>
      <c r="D872" s="332"/>
      <c r="E872" s="332"/>
      <c r="F872" s="325"/>
      <c r="G872" s="435">
        <f>+SUBTOTAL(9,G873:G876)</f>
        <v>2688.22</v>
      </c>
    </row>
    <row r="873" spans="2:7" hidden="1" outlineLevel="2">
      <c r="B873" s="330" t="s">
        <v>1130</v>
      </c>
      <c r="C873" s="121" t="s">
        <v>81</v>
      </c>
      <c r="D873" s="332" t="s">
        <v>69</v>
      </c>
      <c r="E873" s="332">
        <v>0.73</v>
      </c>
      <c r="F873" s="325">
        <v>398.62</v>
      </c>
      <c r="G873" s="436">
        <f>ROUND(E873*F873,2)</f>
        <v>290.99</v>
      </c>
    </row>
    <row r="874" spans="2:7" hidden="1" outlineLevel="2">
      <c r="B874" s="330" t="s">
        <v>1131</v>
      </c>
      <c r="C874" s="121" t="s">
        <v>318</v>
      </c>
      <c r="D874" s="332" t="s">
        <v>69</v>
      </c>
      <c r="E874" s="332">
        <v>3.97</v>
      </c>
      <c r="F874" s="325">
        <v>353.53</v>
      </c>
      <c r="G874" s="436">
        <f>ROUND(E874*F874,2)</f>
        <v>1403.51</v>
      </c>
    </row>
    <row r="875" spans="2:7" hidden="1" outlineLevel="2">
      <c r="B875" s="330" t="s">
        <v>1132</v>
      </c>
      <c r="C875" s="121" t="s">
        <v>320</v>
      </c>
      <c r="D875" s="332" t="s">
        <v>69</v>
      </c>
      <c r="E875" s="332">
        <v>0.94</v>
      </c>
      <c r="F875" s="325">
        <v>415.41</v>
      </c>
      <c r="G875" s="436">
        <f>ROUND(E875*F875,2)</f>
        <v>390.49</v>
      </c>
    </row>
    <row r="876" spans="2:7" hidden="1" outlineLevel="2">
      <c r="B876" s="330" t="s">
        <v>1133</v>
      </c>
      <c r="C876" s="121" t="s">
        <v>322</v>
      </c>
      <c r="D876" s="332" t="s">
        <v>57</v>
      </c>
      <c r="E876" s="332">
        <v>12.51</v>
      </c>
      <c r="F876" s="325">
        <v>48.22</v>
      </c>
      <c r="G876" s="436">
        <f>ROUND(E876*F876,2)</f>
        <v>603.23</v>
      </c>
    </row>
    <row r="877" spans="2:7" hidden="1" outlineLevel="2">
      <c r="B877" s="331" t="s">
        <v>1134</v>
      </c>
      <c r="C877" s="324" t="s">
        <v>85</v>
      </c>
      <c r="D877" s="332"/>
      <c r="E877" s="332"/>
      <c r="F877" s="325"/>
      <c r="G877" s="435">
        <f>+SUBTOTAL(9,G878:G892)</f>
        <v>19049.649999999998</v>
      </c>
    </row>
    <row r="878" spans="2:7" hidden="1" outlineLevel="2">
      <c r="B878" s="331" t="s">
        <v>1135</v>
      </c>
      <c r="C878" s="324" t="s">
        <v>974</v>
      </c>
      <c r="D878" s="332"/>
      <c r="E878" s="332"/>
      <c r="F878" s="325"/>
      <c r="G878" s="435">
        <f>+SUBTOTAL(9,G879:G880)</f>
        <v>2436.88</v>
      </c>
    </row>
    <row r="879" spans="2:7" hidden="1" outlineLevel="2">
      <c r="B879" s="330" t="s">
        <v>1136</v>
      </c>
      <c r="C879" s="121" t="s">
        <v>1080</v>
      </c>
      <c r="D879" s="332" t="s">
        <v>69</v>
      </c>
      <c r="E879" s="332">
        <v>3.63</v>
      </c>
      <c r="F879" s="325">
        <v>485.32</v>
      </c>
      <c r="G879" s="436">
        <f>ROUND(E879*F879,2)</f>
        <v>1761.71</v>
      </c>
    </row>
    <row r="880" spans="2:7" hidden="1" outlineLevel="2">
      <c r="B880" s="330" t="s">
        <v>1137</v>
      </c>
      <c r="C880" s="121" t="s">
        <v>93</v>
      </c>
      <c r="D880" s="332" t="s">
        <v>94</v>
      </c>
      <c r="E880" s="332">
        <v>91.61</v>
      </c>
      <c r="F880" s="325">
        <v>7.37</v>
      </c>
      <c r="G880" s="436">
        <f>ROUND(E880*F880,2)</f>
        <v>675.17</v>
      </c>
    </row>
    <row r="881" spans="2:7" hidden="1" outlineLevel="2">
      <c r="B881" s="331" t="s">
        <v>1138</v>
      </c>
      <c r="C881" s="324" t="s">
        <v>227</v>
      </c>
      <c r="D881" s="332"/>
      <c r="E881" s="332"/>
      <c r="F881" s="325"/>
      <c r="G881" s="435">
        <f>+SUBTOTAL(9,G882:G884)</f>
        <v>5365.35</v>
      </c>
    </row>
    <row r="882" spans="2:7" hidden="1" outlineLevel="2">
      <c r="B882" s="330" t="s">
        <v>1139</v>
      </c>
      <c r="C882" s="121" t="s">
        <v>1084</v>
      </c>
      <c r="D882" s="332" t="s">
        <v>69</v>
      </c>
      <c r="E882" s="332">
        <v>1.71</v>
      </c>
      <c r="F882" s="325">
        <v>618.65</v>
      </c>
      <c r="G882" s="436">
        <f>ROUND(E882*F882,2)</f>
        <v>1057.8900000000001</v>
      </c>
    </row>
    <row r="883" spans="2:7" hidden="1" outlineLevel="2">
      <c r="B883" s="330" t="s">
        <v>1140</v>
      </c>
      <c r="C883" s="121" t="s">
        <v>231</v>
      </c>
      <c r="D883" s="332" t="s">
        <v>57</v>
      </c>
      <c r="E883" s="332">
        <v>24.9</v>
      </c>
      <c r="F883" s="325">
        <v>65.900000000000006</v>
      </c>
      <c r="G883" s="436">
        <f>ROUND(E883*F883,2)</f>
        <v>1640.91</v>
      </c>
    </row>
    <row r="884" spans="2:7" hidden="1" outlineLevel="2">
      <c r="B884" s="330" t="s">
        <v>1141</v>
      </c>
      <c r="C884" s="121" t="s">
        <v>233</v>
      </c>
      <c r="D884" s="332" t="s">
        <v>94</v>
      </c>
      <c r="E884" s="332">
        <v>356.49</v>
      </c>
      <c r="F884" s="325">
        <v>7.48</v>
      </c>
      <c r="G884" s="436">
        <f>ROUND(E884*F884,2)</f>
        <v>2666.55</v>
      </c>
    </row>
    <row r="885" spans="2:7" hidden="1" outlineLevel="2">
      <c r="B885" s="331" t="s">
        <v>1142</v>
      </c>
      <c r="C885" s="324" t="s">
        <v>241</v>
      </c>
      <c r="D885" s="332"/>
      <c r="E885" s="332"/>
      <c r="F885" s="325"/>
      <c r="G885" s="435">
        <f>+SUBTOTAL(9,G886:G888)</f>
        <v>4530.6000000000004</v>
      </c>
    </row>
    <row r="886" spans="2:7" hidden="1" outlineLevel="2">
      <c r="B886" s="330" t="s">
        <v>1143</v>
      </c>
      <c r="C886" s="121" t="s">
        <v>1089</v>
      </c>
      <c r="D886" s="332" t="s">
        <v>69</v>
      </c>
      <c r="E886" s="332">
        <v>2.29</v>
      </c>
      <c r="F886" s="325">
        <v>563.16999999999996</v>
      </c>
      <c r="G886" s="436">
        <f>ROUND(E886*F886,2)</f>
        <v>1289.6600000000001</v>
      </c>
    </row>
    <row r="887" spans="2:7" hidden="1" outlineLevel="2">
      <c r="B887" s="330" t="s">
        <v>1144</v>
      </c>
      <c r="C887" s="121" t="s">
        <v>122</v>
      </c>
      <c r="D887" s="332" t="s">
        <v>57</v>
      </c>
      <c r="E887" s="332">
        <v>16.989999999999998</v>
      </c>
      <c r="F887" s="325">
        <v>75.39</v>
      </c>
      <c r="G887" s="436">
        <f>ROUND(E887*F887,2)</f>
        <v>1280.8800000000001</v>
      </c>
    </row>
    <row r="888" spans="2:7" hidden="1" outlineLevel="2">
      <c r="B888" s="330" t="s">
        <v>1145</v>
      </c>
      <c r="C888" s="121" t="s">
        <v>336</v>
      </c>
      <c r="D888" s="332" t="s">
        <v>94</v>
      </c>
      <c r="E888" s="332">
        <v>262.04000000000002</v>
      </c>
      <c r="F888" s="325">
        <v>7.48</v>
      </c>
      <c r="G888" s="436">
        <f>ROUND(E888*F888,2)</f>
        <v>1960.06</v>
      </c>
    </row>
    <row r="889" spans="2:7" hidden="1" outlineLevel="2">
      <c r="B889" s="331" t="s">
        <v>1146</v>
      </c>
      <c r="C889" s="324" t="s">
        <v>695</v>
      </c>
      <c r="D889" s="332"/>
      <c r="E889" s="332"/>
      <c r="F889" s="325"/>
      <c r="G889" s="435">
        <f>+SUBTOTAL(9,G890:G892)</f>
        <v>6716.8200000000006</v>
      </c>
    </row>
    <row r="890" spans="2:7" hidden="1" outlineLevel="2">
      <c r="B890" s="330" t="s">
        <v>1147</v>
      </c>
      <c r="C890" s="121" t="s">
        <v>507</v>
      </c>
      <c r="D890" s="332" t="s">
        <v>69</v>
      </c>
      <c r="E890" s="332">
        <v>4.24</v>
      </c>
      <c r="F890" s="325">
        <v>563.16999999999996</v>
      </c>
      <c r="G890" s="436">
        <f>ROUND(E890*F890,2)</f>
        <v>2387.84</v>
      </c>
    </row>
    <row r="891" spans="2:7" hidden="1" outlineLevel="2">
      <c r="B891" s="330" t="s">
        <v>1148</v>
      </c>
      <c r="C891" s="121" t="s">
        <v>252</v>
      </c>
      <c r="D891" s="332" t="s">
        <v>57</v>
      </c>
      <c r="E891" s="332">
        <v>31.46</v>
      </c>
      <c r="F891" s="325">
        <v>60.67</v>
      </c>
      <c r="G891" s="436">
        <f>ROUND(E891*F891,2)</f>
        <v>1908.68</v>
      </c>
    </row>
    <row r="892" spans="2:7" hidden="1" outlineLevel="2">
      <c r="B892" s="330" t="s">
        <v>1149</v>
      </c>
      <c r="C892" s="121" t="s">
        <v>254</v>
      </c>
      <c r="D892" s="332" t="s">
        <v>94</v>
      </c>
      <c r="E892" s="332">
        <v>323.57</v>
      </c>
      <c r="F892" s="325">
        <v>7.48</v>
      </c>
      <c r="G892" s="436">
        <f>ROUND(E892*F892,2)</f>
        <v>2420.3000000000002</v>
      </c>
    </row>
    <row r="893" spans="2:7" hidden="1" outlineLevel="2">
      <c r="B893" s="331" t="s">
        <v>1150</v>
      </c>
      <c r="C893" s="324" t="s">
        <v>134</v>
      </c>
      <c r="D893" s="332"/>
      <c r="E893" s="332"/>
      <c r="F893" s="325"/>
      <c r="G893" s="435">
        <f>+SUBTOTAL(9,G894:G900)</f>
        <v>5600.24</v>
      </c>
    </row>
    <row r="894" spans="2:7" ht="30" hidden="1" outlineLevel="2">
      <c r="B894" s="330" t="s">
        <v>1151</v>
      </c>
      <c r="C894" s="121" t="s">
        <v>348</v>
      </c>
      <c r="D894" s="332" t="s">
        <v>57</v>
      </c>
      <c r="E894" s="332">
        <v>69.75</v>
      </c>
      <c r="F894" s="325">
        <v>27.37</v>
      </c>
      <c r="G894" s="436">
        <f t="shared" ref="G894:G900" si="17">ROUND(E894*F894,2)</f>
        <v>1909.06</v>
      </c>
    </row>
    <row r="895" spans="2:7" ht="30" hidden="1" outlineLevel="2">
      <c r="B895" s="330" t="s">
        <v>1152</v>
      </c>
      <c r="C895" s="121" t="s">
        <v>350</v>
      </c>
      <c r="D895" s="332" t="s">
        <v>57</v>
      </c>
      <c r="E895" s="332">
        <v>63.87</v>
      </c>
      <c r="F895" s="325">
        <v>27.37</v>
      </c>
      <c r="G895" s="436">
        <f t="shared" si="17"/>
        <v>1748.12</v>
      </c>
    </row>
    <row r="896" spans="2:7" ht="30" hidden="1" outlineLevel="2">
      <c r="B896" s="330" t="s">
        <v>1153</v>
      </c>
      <c r="C896" s="121" t="s">
        <v>352</v>
      </c>
      <c r="D896" s="332" t="s">
        <v>57</v>
      </c>
      <c r="E896" s="332">
        <v>28.32</v>
      </c>
      <c r="F896" s="325">
        <v>27.37</v>
      </c>
      <c r="G896" s="436">
        <f t="shared" si="17"/>
        <v>775.12</v>
      </c>
    </row>
    <row r="897" spans="2:7" ht="30" hidden="1" outlineLevel="2">
      <c r="B897" s="330" t="s">
        <v>1154</v>
      </c>
      <c r="C897" s="121" t="s">
        <v>354</v>
      </c>
      <c r="D897" s="332" t="s">
        <v>57</v>
      </c>
      <c r="E897" s="332">
        <v>3.14</v>
      </c>
      <c r="F897" s="325">
        <v>27.37</v>
      </c>
      <c r="G897" s="436">
        <f t="shared" si="17"/>
        <v>85.94</v>
      </c>
    </row>
    <row r="898" spans="2:7" hidden="1" outlineLevel="2">
      <c r="B898" s="330" t="s">
        <v>1155</v>
      </c>
      <c r="C898" s="121" t="s">
        <v>1102</v>
      </c>
      <c r="D898" s="332" t="s">
        <v>57</v>
      </c>
      <c r="E898" s="332">
        <v>0.76</v>
      </c>
      <c r="F898" s="325">
        <v>27.37</v>
      </c>
      <c r="G898" s="436">
        <f t="shared" si="17"/>
        <v>20.8</v>
      </c>
    </row>
    <row r="899" spans="2:7" hidden="1" outlineLevel="2">
      <c r="B899" s="330" t="s">
        <v>1156</v>
      </c>
      <c r="C899" s="121" t="s">
        <v>277</v>
      </c>
      <c r="D899" s="332" t="s">
        <v>64</v>
      </c>
      <c r="E899" s="332">
        <v>33.5</v>
      </c>
      <c r="F899" s="325">
        <v>17.440000000000001</v>
      </c>
      <c r="G899" s="436">
        <f t="shared" si="17"/>
        <v>584.24</v>
      </c>
    </row>
    <row r="900" spans="2:7" hidden="1" outlineLevel="2">
      <c r="B900" s="330" t="s">
        <v>1157</v>
      </c>
      <c r="C900" s="121" t="s">
        <v>156</v>
      </c>
      <c r="D900" s="332" t="s">
        <v>57</v>
      </c>
      <c r="E900" s="332">
        <v>111.7</v>
      </c>
      <c r="F900" s="325">
        <v>4.2699999999999996</v>
      </c>
      <c r="G900" s="436">
        <f t="shared" si="17"/>
        <v>476.96</v>
      </c>
    </row>
    <row r="901" spans="2:7" hidden="1" outlineLevel="2">
      <c r="B901" s="331" t="s">
        <v>1158</v>
      </c>
      <c r="C901" s="324" t="s">
        <v>158</v>
      </c>
      <c r="D901" s="332"/>
      <c r="E901" s="332"/>
      <c r="F901" s="325"/>
      <c r="G901" s="435">
        <f>+SUBTOTAL(9,G902)</f>
        <v>601.63</v>
      </c>
    </row>
    <row r="902" spans="2:7" hidden="1" outlineLevel="2">
      <c r="B902" s="330" t="s">
        <v>1159</v>
      </c>
      <c r="C902" s="121" t="s">
        <v>1107</v>
      </c>
      <c r="D902" s="332" t="s">
        <v>57</v>
      </c>
      <c r="E902" s="332">
        <v>23.31</v>
      </c>
      <c r="F902" s="325">
        <v>25.81</v>
      </c>
      <c r="G902" s="436">
        <f>ROUND(E902*F902,2)</f>
        <v>601.63</v>
      </c>
    </row>
    <row r="903" spans="2:7" hidden="1" outlineLevel="2">
      <c r="B903" s="331" t="s">
        <v>1160</v>
      </c>
      <c r="C903" s="324" t="s">
        <v>162</v>
      </c>
      <c r="D903" s="332"/>
      <c r="E903" s="332"/>
      <c r="F903" s="325"/>
      <c r="G903" s="435">
        <f>+SUBTOTAL(9,G904:G905)</f>
        <v>5383.22</v>
      </c>
    </row>
    <row r="904" spans="2:7" hidden="1" outlineLevel="2">
      <c r="B904" s="330" t="s">
        <v>1161</v>
      </c>
      <c r="C904" s="121" t="s">
        <v>1110</v>
      </c>
      <c r="D904" s="332" t="s">
        <v>287</v>
      </c>
      <c r="E904" s="332">
        <v>1</v>
      </c>
      <c r="F904" s="325">
        <v>3753</v>
      </c>
      <c r="G904" s="436">
        <f>ROUND(E904*F904,2)</f>
        <v>3753</v>
      </c>
    </row>
    <row r="905" spans="2:7" hidden="1" outlineLevel="2">
      <c r="B905" s="330" t="s">
        <v>1162</v>
      </c>
      <c r="C905" s="121" t="s">
        <v>289</v>
      </c>
      <c r="D905" s="332" t="s">
        <v>287</v>
      </c>
      <c r="E905" s="332">
        <v>2</v>
      </c>
      <c r="F905" s="325">
        <v>815.11</v>
      </c>
      <c r="G905" s="436">
        <f>ROUND(E905*F905,2)</f>
        <v>1630.22</v>
      </c>
    </row>
    <row r="906" spans="2:7" hidden="1" outlineLevel="2">
      <c r="B906" s="331" t="s">
        <v>1163</v>
      </c>
      <c r="C906" s="324" t="s">
        <v>174</v>
      </c>
      <c r="D906" s="332"/>
      <c r="E906" s="332"/>
      <c r="F906" s="325"/>
      <c r="G906" s="435">
        <f>+SUBTOTAL(9,G907:G909)</f>
        <v>1735.45</v>
      </c>
    </row>
    <row r="907" spans="2:7" hidden="1" outlineLevel="2">
      <c r="B907" s="330" t="s">
        <v>1164</v>
      </c>
      <c r="C907" s="121" t="s">
        <v>294</v>
      </c>
      <c r="D907" s="332" t="s">
        <v>57</v>
      </c>
      <c r="E907" s="332">
        <v>69.75</v>
      </c>
      <c r="F907" s="325">
        <v>9.8000000000000007</v>
      </c>
      <c r="G907" s="436">
        <f>ROUND(E907*F907,2)</f>
        <v>683.55</v>
      </c>
    </row>
    <row r="908" spans="2:7" hidden="1" outlineLevel="2">
      <c r="B908" s="330" t="s">
        <v>1165</v>
      </c>
      <c r="C908" s="121" t="s">
        <v>296</v>
      </c>
      <c r="D908" s="332" t="s">
        <v>57</v>
      </c>
      <c r="E908" s="332">
        <v>63.87</v>
      </c>
      <c r="F908" s="325">
        <v>10.32</v>
      </c>
      <c r="G908" s="436">
        <f>ROUND(E908*F908,2)</f>
        <v>659.14</v>
      </c>
    </row>
    <row r="909" spans="2:7" hidden="1" outlineLevel="2">
      <c r="B909" s="330" t="s">
        <v>1166</v>
      </c>
      <c r="C909" s="121" t="s">
        <v>298</v>
      </c>
      <c r="D909" s="332" t="s">
        <v>57</v>
      </c>
      <c r="E909" s="332">
        <v>32.22</v>
      </c>
      <c r="F909" s="325">
        <v>12.19</v>
      </c>
      <c r="G909" s="436">
        <f>ROUND(E909*F909,2)</f>
        <v>392.76</v>
      </c>
    </row>
    <row r="910" spans="2:7" hidden="1" outlineLevel="2">
      <c r="B910" s="331" t="s">
        <v>1167</v>
      </c>
      <c r="C910" s="324" t="s">
        <v>178</v>
      </c>
      <c r="D910" s="332"/>
      <c r="E910" s="332"/>
      <c r="F910" s="325"/>
      <c r="G910" s="435">
        <f>+SUBTOTAL(9,G911:G912)</f>
        <v>996.38</v>
      </c>
    </row>
    <row r="911" spans="2:7" hidden="1" outlineLevel="2">
      <c r="B911" s="330" t="s">
        <v>1164</v>
      </c>
      <c r="C911" s="121" t="s">
        <v>183</v>
      </c>
      <c r="D911" s="332" t="s">
        <v>43</v>
      </c>
      <c r="E911" s="332">
        <v>4</v>
      </c>
      <c r="F911" s="325">
        <v>28.65</v>
      </c>
      <c r="G911" s="436">
        <f>ROUND(E911*F911,2)</f>
        <v>114.6</v>
      </c>
    </row>
    <row r="912" spans="2:7" hidden="1" outlineLevel="2">
      <c r="B912" s="330" t="s">
        <v>1165</v>
      </c>
      <c r="C912" s="121" t="s">
        <v>193</v>
      </c>
      <c r="D912" s="332" t="s">
        <v>57</v>
      </c>
      <c r="E912" s="332">
        <v>85.86</v>
      </c>
      <c r="F912" s="325">
        <v>10.27</v>
      </c>
      <c r="G912" s="436">
        <f>ROUND(E912*F912,2)</f>
        <v>881.78</v>
      </c>
    </row>
    <row r="913" spans="2:7" hidden="1" outlineLevel="1" collapsed="1">
      <c r="B913" s="331" t="s">
        <v>1168</v>
      </c>
      <c r="C913" s="324" t="s">
        <v>1169</v>
      </c>
      <c r="D913" s="332"/>
      <c r="E913" s="332"/>
      <c r="F913" s="325"/>
      <c r="G913" s="435">
        <f>+SUBTOTAL(9,G914:G943)</f>
        <v>23780.239999999998</v>
      </c>
    </row>
    <row r="914" spans="2:7" hidden="1" outlineLevel="2">
      <c r="B914" s="331" t="s">
        <v>1170</v>
      </c>
      <c r="C914" s="324" t="s">
        <v>54</v>
      </c>
      <c r="D914" s="332"/>
      <c r="E914" s="332"/>
      <c r="F914" s="325"/>
      <c r="G914" s="435">
        <f>+SUBTOTAL(9,G915:G916)</f>
        <v>1322.85</v>
      </c>
    </row>
    <row r="915" spans="2:7" hidden="1" outlineLevel="2">
      <c r="B915" s="330" t="s">
        <v>1171</v>
      </c>
      <c r="C915" s="121" t="s">
        <v>56</v>
      </c>
      <c r="D915" s="332" t="s">
        <v>57</v>
      </c>
      <c r="E915" s="332">
        <v>9.9499999999999993</v>
      </c>
      <c r="F915" s="325">
        <v>68.64</v>
      </c>
      <c r="G915" s="436">
        <f>ROUND(E915*F915,2)</f>
        <v>682.97</v>
      </c>
    </row>
    <row r="916" spans="2:7" hidden="1" outlineLevel="2">
      <c r="B916" s="330" t="s">
        <v>1172</v>
      </c>
      <c r="C916" s="121" t="s">
        <v>199</v>
      </c>
      <c r="D916" s="332" t="s">
        <v>57</v>
      </c>
      <c r="E916" s="332">
        <v>9.9499999999999993</v>
      </c>
      <c r="F916" s="325">
        <v>64.31</v>
      </c>
      <c r="G916" s="436">
        <f>ROUND(E916*F916,2)</f>
        <v>639.88</v>
      </c>
    </row>
    <row r="917" spans="2:7" hidden="1" outlineLevel="2">
      <c r="B917" s="331" t="s">
        <v>1173</v>
      </c>
      <c r="C917" s="324" t="s">
        <v>66</v>
      </c>
      <c r="D917" s="332"/>
      <c r="E917" s="332"/>
      <c r="F917" s="325"/>
      <c r="G917" s="435">
        <f>+SUBTOTAL(9,G918:G920)</f>
        <v>8177.28</v>
      </c>
    </row>
    <row r="918" spans="2:7" hidden="1" outlineLevel="2">
      <c r="B918" s="330" t="s">
        <v>1174</v>
      </c>
      <c r="C918" s="121" t="s">
        <v>457</v>
      </c>
      <c r="D918" s="332" t="s">
        <v>69</v>
      </c>
      <c r="E918" s="332">
        <v>23.87</v>
      </c>
      <c r="F918" s="325">
        <v>323.01</v>
      </c>
      <c r="G918" s="436">
        <f>ROUND(E918*F918,2)</f>
        <v>7710.25</v>
      </c>
    </row>
    <row r="919" spans="2:7" hidden="1" outlineLevel="2">
      <c r="B919" s="330" t="s">
        <v>1175</v>
      </c>
      <c r="C919" s="121" t="s">
        <v>73</v>
      </c>
      <c r="D919" s="332" t="s">
        <v>57</v>
      </c>
      <c r="E919" s="332">
        <v>9.9499999999999993</v>
      </c>
      <c r="F919" s="325">
        <v>14.12</v>
      </c>
      <c r="G919" s="436">
        <f>ROUND(E919*F919,2)</f>
        <v>140.49</v>
      </c>
    </row>
    <row r="920" spans="2:7" hidden="1" outlineLevel="2">
      <c r="B920" s="330" t="s">
        <v>1176</v>
      </c>
      <c r="C920" s="121" t="s">
        <v>77</v>
      </c>
      <c r="D920" s="332" t="s">
        <v>69</v>
      </c>
      <c r="E920" s="332">
        <v>23.87</v>
      </c>
      <c r="F920" s="325">
        <v>13.68</v>
      </c>
      <c r="G920" s="436">
        <f>ROUND(E920*F920,2)</f>
        <v>326.54000000000002</v>
      </c>
    </row>
    <row r="921" spans="2:7" hidden="1" outlineLevel="2">
      <c r="B921" s="331" t="s">
        <v>1177</v>
      </c>
      <c r="C921" s="324" t="s">
        <v>79</v>
      </c>
      <c r="D921" s="332"/>
      <c r="E921" s="332"/>
      <c r="F921" s="325"/>
      <c r="G921" s="435">
        <f>+SUBTOTAL(9,G922)</f>
        <v>394.63</v>
      </c>
    </row>
    <row r="922" spans="2:7" hidden="1" outlineLevel="2">
      <c r="B922" s="330" t="s">
        <v>1178</v>
      </c>
      <c r="C922" s="121" t="s">
        <v>81</v>
      </c>
      <c r="D922" s="332" t="s">
        <v>69</v>
      </c>
      <c r="E922" s="332">
        <v>0.99</v>
      </c>
      <c r="F922" s="325">
        <v>398.62</v>
      </c>
      <c r="G922" s="436">
        <f>ROUND(E922*F922,2)</f>
        <v>394.63</v>
      </c>
    </row>
    <row r="923" spans="2:7" hidden="1" outlineLevel="2">
      <c r="B923" s="331" t="s">
        <v>1179</v>
      </c>
      <c r="C923" s="324" t="s">
        <v>85</v>
      </c>
      <c r="D923" s="332"/>
      <c r="E923" s="332"/>
      <c r="F923" s="325"/>
      <c r="G923" s="435">
        <f>+SUBTOTAL(9,G924:G934)</f>
        <v>11206.46</v>
      </c>
    </row>
    <row r="924" spans="2:7" hidden="1" outlineLevel="2">
      <c r="B924" s="331" t="s">
        <v>1180</v>
      </c>
      <c r="C924" s="324" t="s">
        <v>96</v>
      </c>
      <c r="D924" s="332"/>
      <c r="E924" s="332"/>
      <c r="F924" s="325"/>
      <c r="G924" s="435">
        <f>+SUBTOTAL(9,G925:G926)</f>
        <v>1962.3600000000001</v>
      </c>
    </row>
    <row r="925" spans="2:7" hidden="1" outlineLevel="2">
      <c r="B925" s="330" t="s">
        <v>1181</v>
      </c>
      <c r="C925" s="121" t="s">
        <v>465</v>
      </c>
      <c r="D925" s="332" t="s">
        <v>69</v>
      </c>
      <c r="E925" s="332">
        <v>1.99</v>
      </c>
      <c r="F925" s="325">
        <v>563.16999999999996</v>
      </c>
      <c r="G925" s="436">
        <f>ROUND(E925*F925,2)</f>
        <v>1120.71</v>
      </c>
    </row>
    <row r="926" spans="2:7" hidden="1" outlineLevel="2">
      <c r="B926" s="330" t="s">
        <v>1182</v>
      </c>
      <c r="C926" s="121" t="s">
        <v>100</v>
      </c>
      <c r="D926" s="332" t="s">
        <v>94</v>
      </c>
      <c r="E926" s="332">
        <v>114.2</v>
      </c>
      <c r="F926" s="325">
        <v>7.37</v>
      </c>
      <c r="G926" s="436">
        <f>ROUND(E926*F926,2)</f>
        <v>841.65</v>
      </c>
    </row>
    <row r="927" spans="2:7" hidden="1" outlineLevel="2">
      <c r="B927" s="331" t="s">
        <v>1183</v>
      </c>
      <c r="C927" s="324" t="s">
        <v>235</v>
      </c>
      <c r="D927" s="332"/>
      <c r="E927" s="332"/>
      <c r="F927" s="325"/>
      <c r="G927" s="435">
        <f>+SUBTOTAL(9,G928:G930)</f>
        <v>8235.23</v>
      </c>
    </row>
    <row r="928" spans="2:7" hidden="1" outlineLevel="2">
      <c r="B928" s="330" t="s">
        <v>1184</v>
      </c>
      <c r="C928" s="121" t="s">
        <v>469</v>
      </c>
      <c r="D928" s="332" t="s">
        <v>69</v>
      </c>
      <c r="E928" s="332">
        <v>6</v>
      </c>
      <c r="F928" s="325">
        <v>618.65</v>
      </c>
      <c r="G928" s="436">
        <f>ROUND(E928*F928,2)</f>
        <v>3711.9</v>
      </c>
    </row>
    <row r="929" spans="2:7" hidden="1" outlineLevel="2">
      <c r="B929" s="330" t="s">
        <v>1185</v>
      </c>
      <c r="C929" s="121" t="s">
        <v>106</v>
      </c>
      <c r="D929" s="332" t="s">
        <v>57</v>
      </c>
      <c r="E929" s="332">
        <v>28.35</v>
      </c>
      <c r="F929" s="325">
        <v>64.8</v>
      </c>
      <c r="G929" s="436">
        <f>ROUND(E929*F929,2)</f>
        <v>1837.08</v>
      </c>
    </row>
    <row r="930" spans="2:7" hidden="1" outlineLevel="2">
      <c r="B930" s="330" t="s">
        <v>1186</v>
      </c>
      <c r="C930" s="121" t="s">
        <v>108</v>
      </c>
      <c r="D930" s="332" t="s">
        <v>94</v>
      </c>
      <c r="E930" s="332">
        <v>357.69</v>
      </c>
      <c r="F930" s="325">
        <v>7.51</v>
      </c>
      <c r="G930" s="436">
        <f>ROUND(E930*F930,2)</f>
        <v>2686.25</v>
      </c>
    </row>
    <row r="931" spans="2:7" hidden="1" outlineLevel="2">
      <c r="B931" s="331" t="s">
        <v>1187</v>
      </c>
      <c r="C931" s="324" t="s">
        <v>473</v>
      </c>
      <c r="D931" s="332"/>
      <c r="E931" s="332"/>
      <c r="F931" s="325"/>
      <c r="G931" s="435">
        <f>+SUBTOTAL(9,G932:G934)</f>
        <v>1008.87</v>
      </c>
    </row>
    <row r="932" spans="2:7" hidden="1" outlineLevel="2">
      <c r="B932" s="330" t="s">
        <v>1188</v>
      </c>
      <c r="C932" s="121" t="s">
        <v>475</v>
      </c>
      <c r="D932" s="332" t="s">
        <v>69</v>
      </c>
      <c r="E932" s="332">
        <v>0.4</v>
      </c>
      <c r="F932" s="325">
        <v>541.16</v>
      </c>
      <c r="G932" s="436">
        <f>ROUND(E932*F932,2)</f>
        <v>216.46</v>
      </c>
    </row>
    <row r="933" spans="2:7" hidden="1" outlineLevel="2">
      <c r="B933" s="330" t="s">
        <v>1189</v>
      </c>
      <c r="C933" s="121" t="s">
        <v>477</v>
      </c>
      <c r="D933" s="332" t="s">
        <v>57</v>
      </c>
      <c r="E933" s="332">
        <v>9.4</v>
      </c>
      <c r="F933" s="325">
        <v>35.4</v>
      </c>
      <c r="G933" s="436">
        <f>ROUND(E933*F933,2)</f>
        <v>332.76</v>
      </c>
    </row>
    <row r="934" spans="2:7" hidden="1" outlineLevel="2">
      <c r="B934" s="330" t="s">
        <v>1190</v>
      </c>
      <c r="C934" s="121" t="s">
        <v>479</v>
      </c>
      <c r="D934" s="332" t="s">
        <v>94</v>
      </c>
      <c r="E934" s="332">
        <v>61.45</v>
      </c>
      <c r="F934" s="325">
        <v>7.48</v>
      </c>
      <c r="G934" s="436">
        <f>ROUND(E934*F934,2)</f>
        <v>459.65</v>
      </c>
    </row>
    <row r="935" spans="2:7" hidden="1" outlineLevel="2">
      <c r="B935" s="331" t="s">
        <v>1191</v>
      </c>
      <c r="C935" s="324" t="s">
        <v>134</v>
      </c>
      <c r="D935" s="332"/>
      <c r="E935" s="332"/>
      <c r="F935" s="325"/>
      <c r="G935" s="435">
        <f>+SUBTOTAL(9,G936:G939)</f>
        <v>2052.98</v>
      </c>
    </row>
    <row r="936" spans="2:7" ht="30" hidden="1" outlineLevel="2">
      <c r="B936" s="330" t="s">
        <v>1192</v>
      </c>
      <c r="C936" s="121" t="s">
        <v>136</v>
      </c>
      <c r="D936" s="332" t="s">
        <v>57</v>
      </c>
      <c r="E936" s="332">
        <v>7.09</v>
      </c>
      <c r="F936" s="325">
        <v>28.74</v>
      </c>
      <c r="G936" s="436">
        <f>ROUND(E936*F936,2)</f>
        <v>203.77</v>
      </c>
    </row>
    <row r="937" spans="2:7" ht="30" hidden="1" outlineLevel="2">
      <c r="B937" s="330" t="s">
        <v>1193</v>
      </c>
      <c r="C937" s="121" t="s">
        <v>138</v>
      </c>
      <c r="D937" s="332" t="s">
        <v>57</v>
      </c>
      <c r="E937" s="332">
        <v>7.09</v>
      </c>
      <c r="F937" s="325">
        <v>28.74</v>
      </c>
      <c r="G937" s="436">
        <f>ROUND(E937*F937,2)</f>
        <v>203.77</v>
      </c>
    </row>
    <row r="938" spans="2:7" ht="30" hidden="1" outlineLevel="2">
      <c r="B938" s="330" t="s">
        <v>1194</v>
      </c>
      <c r="C938" s="121" t="s">
        <v>140</v>
      </c>
      <c r="D938" s="332" t="s">
        <v>57</v>
      </c>
      <c r="E938" s="332">
        <v>28.35</v>
      </c>
      <c r="F938" s="325">
        <v>28.74</v>
      </c>
      <c r="G938" s="436">
        <f>ROUND(E938*F938,2)</f>
        <v>814.78</v>
      </c>
    </row>
    <row r="939" spans="2:7" ht="30" hidden="1" outlineLevel="2">
      <c r="B939" s="330" t="s">
        <v>1195</v>
      </c>
      <c r="C939" s="121" t="s">
        <v>142</v>
      </c>
      <c r="D939" s="332" t="s">
        <v>57</v>
      </c>
      <c r="E939" s="332">
        <v>28.35</v>
      </c>
      <c r="F939" s="325">
        <v>29.3</v>
      </c>
      <c r="G939" s="436">
        <f>ROUND(E939*F939,2)</f>
        <v>830.66</v>
      </c>
    </row>
    <row r="940" spans="2:7" hidden="1" outlineLevel="2">
      <c r="B940" s="331" t="s">
        <v>1196</v>
      </c>
      <c r="C940" s="324" t="s">
        <v>185</v>
      </c>
      <c r="D940" s="332"/>
      <c r="E940" s="332"/>
      <c r="F940" s="325"/>
      <c r="G940" s="435">
        <f>+SUBTOTAL(9,G941:G943)</f>
        <v>626.04</v>
      </c>
    </row>
    <row r="941" spans="2:7" hidden="1" outlineLevel="2">
      <c r="B941" s="330" t="s">
        <v>1197</v>
      </c>
      <c r="C941" s="121" t="s">
        <v>489</v>
      </c>
      <c r="D941" s="332" t="s">
        <v>43</v>
      </c>
      <c r="E941" s="332">
        <v>12</v>
      </c>
      <c r="F941" s="325">
        <v>12.7</v>
      </c>
      <c r="G941" s="436">
        <f>ROUND(E941*F941,2)</f>
        <v>152.4</v>
      </c>
    </row>
    <row r="942" spans="2:7" hidden="1" outlineLevel="2">
      <c r="B942" s="330" t="s">
        <v>1198</v>
      </c>
      <c r="C942" s="121" t="s">
        <v>183</v>
      </c>
      <c r="D942" s="332" t="s">
        <v>43</v>
      </c>
      <c r="E942" s="332">
        <v>3</v>
      </c>
      <c r="F942" s="325">
        <v>28.65</v>
      </c>
      <c r="G942" s="436">
        <f>ROUND(E942*F942,2)</f>
        <v>85.95</v>
      </c>
    </row>
    <row r="943" spans="2:7" hidden="1" outlineLevel="2">
      <c r="B943" s="330" t="s">
        <v>1199</v>
      </c>
      <c r="C943" s="121" t="s">
        <v>193</v>
      </c>
      <c r="D943" s="332" t="s">
        <v>57</v>
      </c>
      <c r="E943" s="332">
        <v>37.75</v>
      </c>
      <c r="F943" s="325">
        <v>10.27</v>
      </c>
      <c r="G943" s="436">
        <f>ROUND(E943*F943,2)</f>
        <v>387.69</v>
      </c>
    </row>
    <row r="944" spans="2:7" hidden="1" outlineLevel="1" collapsed="1">
      <c r="B944" s="331" t="s">
        <v>1200</v>
      </c>
      <c r="C944" s="324" t="s">
        <v>1201</v>
      </c>
      <c r="D944" s="332"/>
      <c r="E944" s="332"/>
      <c r="F944" s="325"/>
      <c r="G944" s="435">
        <f>+SUBTOTAL(9,G945:G966)</f>
        <v>46806.429999999993</v>
      </c>
    </row>
    <row r="945" spans="2:7" hidden="1" outlineLevel="2">
      <c r="B945" s="331" t="s">
        <v>1202</v>
      </c>
      <c r="C945" s="324" t="s">
        <v>54</v>
      </c>
      <c r="D945" s="332"/>
      <c r="E945" s="332"/>
      <c r="F945" s="325"/>
      <c r="G945" s="435">
        <f>+SUBTOTAL(9,G946:G947)</f>
        <v>2451.6000000000004</v>
      </c>
    </row>
    <row r="946" spans="2:7" hidden="1" outlineLevel="2">
      <c r="B946" s="330" t="s">
        <v>1203</v>
      </c>
      <c r="C946" s="121" t="s">
        <v>56</v>
      </c>
      <c r="D946" s="332" t="s">
        <v>57</v>
      </c>
      <c r="E946" s="332">
        <v>18.440000000000001</v>
      </c>
      <c r="F946" s="325">
        <v>68.64</v>
      </c>
      <c r="G946" s="436">
        <f>ROUND(E946*F946,2)</f>
        <v>1265.72</v>
      </c>
    </row>
    <row r="947" spans="2:7" hidden="1" outlineLevel="2">
      <c r="B947" s="330" t="s">
        <v>1204</v>
      </c>
      <c r="C947" s="121" t="s">
        <v>199</v>
      </c>
      <c r="D947" s="332" t="s">
        <v>57</v>
      </c>
      <c r="E947" s="332">
        <v>18.440000000000001</v>
      </c>
      <c r="F947" s="325">
        <v>64.31</v>
      </c>
      <c r="G947" s="436">
        <f>ROUND(E947*F947,2)</f>
        <v>1185.8800000000001</v>
      </c>
    </row>
    <row r="948" spans="2:7" hidden="1" outlineLevel="2">
      <c r="B948" s="331" t="s">
        <v>1205</v>
      </c>
      <c r="C948" s="324" t="s">
        <v>66</v>
      </c>
      <c r="D948" s="332"/>
      <c r="E948" s="332"/>
      <c r="F948" s="325"/>
      <c r="G948" s="435">
        <f>+SUBTOTAL(9,G949:G952)</f>
        <v>17313.59</v>
      </c>
    </row>
    <row r="949" spans="2:7" hidden="1" outlineLevel="2">
      <c r="B949" s="330" t="s">
        <v>1206</v>
      </c>
      <c r="C949" s="121" t="s">
        <v>457</v>
      </c>
      <c r="D949" s="332" t="s">
        <v>69</v>
      </c>
      <c r="E949" s="332">
        <v>43.37</v>
      </c>
      <c r="F949" s="325">
        <v>323.01</v>
      </c>
      <c r="G949" s="436">
        <f>ROUND(E949*F949,2)</f>
        <v>14008.94</v>
      </c>
    </row>
    <row r="950" spans="2:7" hidden="1" outlineLevel="2">
      <c r="B950" s="330" t="s">
        <v>1207</v>
      </c>
      <c r="C950" s="121" t="s">
        <v>73</v>
      </c>
      <c r="D950" s="332" t="s">
        <v>57</v>
      </c>
      <c r="E950" s="332">
        <v>18.46</v>
      </c>
      <c r="F950" s="325">
        <v>14.12</v>
      </c>
      <c r="G950" s="436">
        <f>ROUND(E950*F950,2)</f>
        <v>260.66000000000003</v>
      </c>
    </row>
    <row r="951" spans="2:7" hidden="1" outlineLevel="2">
      <c r="B951" s="330" t="s">
        <v>1208</v>
      </c>
      <c r="C951" s="121" t="s">
        <v>75</v>
      </c>
      <c r="D951" s="332" t="s">
        <v>69</v>
      </c>
      <c r="E951" s="332">
        <v>25.38</v>
      </c>
      <c r="F951" s="325">
        <v>96.56</v>
      </c>
      <c r="G951" s="436">
        <f>ROUND(E951*F951,2)</f>
        <v>2450.69</v>
      </c>
    </row>
    <row r="952" spans="2:7" hidden="1" outlineLevel="2">
      <c r="B952" s="330" t="s">
        <v>1209</v>
      </c>
      <c r="C952" s="121" t="s">
        <v>77</v>
      </c>
      <c r="D952" s="332" t="s">
        <v>69</v>
      </c>
      <c r="E952" s="332">
        <v>43.37</v>
      </c>
      <c r="F952" s="325">
        <v>13.68</v>
      </c>
      <c r="G952" s="436">
        <f>ROUND(E952*F952,2)</f>
        <v>593.29999999999995</v>
      </c>
    </row>
    <row r="953" spans="2:7" hidden="1" outlineLevel="2">
      <c r="B953" s="331" t="s">
        <v>1210</v>
      </c>
      <c r="C953" s="324" t="s">
        <v>79</v>
      </c>
      <c r="D953" s="332"/>
      <c r="E953" s="332"/>
      <c r="F953" s="325"/>
      <c r="G953" s="435">
        <f>+SUBTOTAL(9,G954)</f>
        <v>737.45</v>
      </c>
    </row>
    <row r="954" spans="2:7" hidden="1" outlineLevel="2">
      <c r="B954" s="330" t="s">
        <v>1211</v>
      </c>
      <c r="C954" s="121" t="s">
        <v>81</v>
      </c>
      <c r="D954" s="332" t="s">
        <v>69</v>
      </c>
      <c r="E954" s="332">
        <v>1.85</v>
      </c>
      <c r="F954" s="325">
        <v>398.62</v>
      </c>
      <c r="G954" s="436">
        <f>ROUND(E954*F954,2)</f>
        <v>737.45</v>
      </c>
    </row>
    <row r="955" spans="2:7" hidden="1" outlineLevel="2">
      <c r="B955" s="331" t="s">
        <v>1212</v>
      </c>
      <c r="C955" s="324" t="s">
        <v>85</v>
      </c>
      <c r="D955" s="332"/>
      <c r="E955" s="332"/>
      <c r="F955" s="325"/>
      <c r="G955" s="435">
        <f>+SUBTOTAL(9,G956:G962)</f>
        <v>25432.920000000002</v>
      </c>
    </row>
    <row r="956" spans="2:7" hidden="1" outlineLevel="2">
      <c r="B956" s="331" t="s">
        <v>1213</v>
      </c>
      <c r="C956" s="324" t="s">
        <v>974</v>
      </c>
      <c r="D956" s="332"/>
      <c r="E956" s="332"/>
      <c r="F956" s="325"/>
      <c r="G956" s="435">
        <f>+SUBTOTAL(9,G957:G958)</f>
        <v>9502.7900000000009</v>
      </c>
    </row>
    <row r="957" spans="2:7" hidden="1" outlineLevel="2">
      <c r="B957" s="330" t="s">
        <v>1214</v>
      </c>
      <c r="C957" s="121" t="s">
        <v>1080</v>
      </c>
      <c r="D957" s="332" t="s">
        <v>69</v>
      </c>
      <c r="E957" s="332">
        <v>11.07</v>
      </c>
      <c r="F957" s="325">
        <v>485.32</v>
      </c>
      <c r="G957" s="436">
        <f>ROUND(E957*F957,2)</f>
        <v>5372.49</v>
      </c>
    </row>
    <row r="958" spans="2:7" hidden="1" outlineLevel="2">
      <c r="B958" s="330" t="s">
        <v>1215</v>
      </c>
      <c r="C958" s="121" t="s">
        <v>93</v>
      </c>
      <c r="D958" s="332" t="s">
        <v>94</v>
      </c>
      <c r="E958" s="332">
        <v>560.41999999999996</v>
      </c>
      <c r="F958" s="325">
        <v>7.37</v>
      </c>
      <c r="G958" s="436">
        <f>ROUND(E958*F958,2)</f>
        <v>4130.3</v>
      </c>
    </row>
    <row r="959" spans="2:7" hidden="1" outlineLevel="2">
      <c r="B959" s="331" t="s">
        <v>1216</v>
      </c>
      <c r="C959" s="324" t="s">
        <v>1217</v>
      </c>
      <c r="D959" s="332"/>
      <c r="E959" s="332"/>
      <c r="F959" s="325"/>
      <c r="G959" s="435">
        <f>+SUBTOTAL(9,G960:G962)</f>
        <v>15930.130000000001</v>
      </c>
    </row>
    <row r="960" spans="2:7" hidden="1" outlineLevel="2">
      <c r="B960" s="330" t="s">
        <v>1218</v>
      </c>
      <c r="C960" s="121" t="s">
        <v>469</v>
      </c>
      <c r="D960" s="332" t="s">
        <v>69</v>
      </c>
      <c r="E960" s="332">
        <v>10.54</v>
      </c>
      <c r="F960" s="325">
        <v>618.65</v>
      </c>
      <c r="G960" s="436">
        <f>ROUND(E960*F960,2)</f>
        <v>6520.57</v>
      </c>
    </row>
    <row r="961" spans="2:7" hidden="1" outlineLevel="2">
      <c r="B961" s="330" t="s">
        <v>1219</v>
      </c>
      <c r="C961" s="121" t="s">
        <v>106</v>
      </c>
      <c r="D961" s="332" t="s">
        <v>57</v>
      </c>
      <c r="E961" s="332">
        <v>62.48</v>
      </c>
      <c r="F961" s="325">
        <v>64.8</v>
      </c>
      <c r="G961" s="436">
        <f>ROUND(E961*F961,2)</f>
        <v>4048.7</v>
      </c>
    </row>
    <row r="962" spans="2:7" hidden="1" outlineLevel="2">
      <c r="B962" s="330" t="s">
        <v>1220</v>
      </c>
      <c r="C962" s="121" t="s">
        <v>108</v>
      </c>
      <c r="D962" s="332" t="s">
        <v>94</v>
      </c>
      <c r="E962" s="332">
        <v>713.83</v>
      </c>
      <c r="F962" s="325">
        <v>7.51</v>
      </c>
      <c r="G962" s="436">
        <f>ROUND(E962*F962,2)</f>
        <v>5360.86</v>
      </c>
    </row>
    <row r="963" spans="2:7" hidden="1" outlineLevel="2">
      <c r="B963" s="331" t="s">
        <v>1221</v>
      </c>
      <c r="C963" s="324" t="s">
        <v>178</v>
      </c>
      <c r="D963" s="332"/>
      <c r="E963" s="332"/>
      <c r="F963" s="325"/>
      <c r="G963" s="435">
        <f>+SUBTOTAL(9,G964)</f>
        <v>229.2</v>
      </c>
    </row>
    <row r="964" spans="2:7" hidden="1" outlineLevel="2">
      <c r="B964" s="330" t="s">
        <v>1222</v>
      </c>
      <c r="C964" s="121" t="s">
        <v>183</v>
      </c>
      <c r="D964" s="332" t="s">
        <v>43</v>
      </c>
      <c r="E964" s="332">
        <v>8</v>
      </c>
      <c r="F964" s="325">
        <v>28.65</v>
      </c>
      <c r="G964" s="436">
        <f>ROUND(E964*F964,2)</f>
        <v>229.2</v>
      </c>
    </row>
    <row r="965" spans="2:7" hidden="1" outlineLevel="2">
      <c r="B965" s="331" t="s">
        <v>1223</v>
      </c>
      <c r="C965" s="324" t="s">
        <v>185</v>
      </c>
      <c r="D965" s="332"/>
      <c r="E965" s="332"/>
      <c r="F965" s="325"/>
      <c r="G965" s="435">
        <f>+SUBTOTAL(9,G966)</f>
        <v>641.66999999999996</v>
      </c>
    </row>
    <row r="966" spans="2:7" hidden="1" outlineLevel="2">
      <c r="B966" s="330" t="s">
        <v>1224</v>
      </c>
      <c r="C966" s="121" t="s">
        <v>193</v>
      </c>
      <c r="D966" s="332" t="s">
        <v>57</v>
      </c>
      <c r="E966" s="332">
        <v>62.48</v>
      </c>
      <c r="F966" s="325">
        <v>10.27</v>
      </c>
      <c r="G966" s="436">
        <f>ROUND(E966*F966,2)</f>
        <v>641.66999999999996</v>
      </c>
    </row>
    <row r="967" spans="2:7" hidden="1" outlineLevel="1">
      <c r="B967" s="331">
        <v>1.06</v>
      </c>
      <c r="C967" s="324" t="s">
        <v>1225</v>
      </c>
      <c r="D967" s="332"/>
      <c r="E967" s="332"/>
      <c r="F967" s="325"/>
      <c r="G967" s="435">
        <f>+SUBTOTAL(9,G968:G1250)</f>
        <v>339379.68000000005</v>
      </c>
    </row>
    <row r="968" spans="2:7" hidden="1" outlineLevel="1" collapsed="1">
      <c r="B968" s="331" t="s">
        <v>1226</v>
      </c>
      <c r="C968" s="324" t="s">
        <v>809</v>
      </c>
      <c r="D968" s="332"/>
      <c r="E968" s="332"/>
      <c r="F968" s="325"/>
      <c r="G968" s="435">
        <f>+SUBTOTAL(9,G969:G1008)</f>
        <v>119206.09999999999</v>
      </c>
    </row>
    <row r="969" spans="2:7" hidden="1" outlineLevel="2">
      <c r="B969" s="331" t="s">
        <v>1227</v>
      </c>
      <c r="C969" s="324" t="s">
        <v>54</v>
      </c>
      <c r="D969" s="332"/>
      <c r="E969" s="332"/>
      <c r="F969" s="325"/>
      <c r="G969" s="435">
        <f>+SUBTOTAL(9,G970:G972)</f>
        <v>8811.23</v>
      </c>
    </row>
    <row r="970" spans="2:7" hidden="1" outlineLevel="2">
      <c r="B970" s="330" t="s">
        <v>1228</v>
      </c>
      <c r="C970" s="121" t="s">
        <v>56</v>
      </c>
      <c r="D970" s="332" t="s">
        <v>57</v>
      </c>
      <c r="E970" s="332">
        <v>64.86</v>
      </c>
      <c r="F970" s="325">
        <v>68.64</v>
      </c>
      <c r="G970" s="436">
        <f>ROUND(E970*F970,2)</f>
        <v>4451.99</v>
      </c>
    </row>
    <row r="971" spans="2:7" hidden="1" outlineLevel="2">
      <c r="B971" s="330" t="s">
        <v>1229</v>
      </c>
      <c r="C971" s="121" t="s">
        <v>199</v>
      </c>
      <c r="D971" s="332" t="s">
        <v>57</v>
      </c>
      <c r="E971" s="332">
        <v>64.86</v>
      </c>
      <c r="F971" s="325">
        <v>64.31</v>
      </c>
      <c r="G971" s="436">
        <f>ROUND(E971*F971,2)</f>
        <v>4171.1499999999996</v>
      </c>
    </row>
    <row r="972" spans="2:7" hidden="1" outlineLevel="2">
      <c r="B972" s="330" t="s">
        <v>1230</v>
      </c>
      <c r="C972" s="121" t="s">
        <v>61</v>
      </c>
      <c r="D972" s="332" t="s">
        <v>57</v>
      </c>
      <c r="E972" s="332">
        <v>64.86</v>
      </c>
      <c r="F972" s="325">
        <v>2.9</v>
      </c>
      <c r="G972" s="436">
        <f>ROUND(E972*F972,2)</f>
        <v>188.09</v>
      </c>
    </row>
    <row r="973" spans="2:7" hidden="1" outlineLevel="2">
      <c r="B973" s="331" t="s">
        <v>1231</v>
      </c>
      <c r="C973" s="324" t="s">
        <v>66</v>
      </c>
      <c r="D973" s="332"/>
      <c r="E973" s="332"/>
      <c r="F973" s="325"/>
      <c r="G973" s="435">
        <f>+SUBTOTAL(9,G974:G977)</f>
        <v>23080.38</v>
      </c>
    </row>
    <row r="974" spans="2:7" hidden="1" outlineLevel="2">
      <c r="B974" s="330" t="s">
        <v>1232</v>
      </c>
      <c r="C974" s="121" t="s">
        <v>68</v>
      </c>
      <c r="D974" s="332" t="s">
        <v>69</v>
      </c>
      <c r="E974" s="332">
        <v>89.63</v>
      </c>
      <c r="F974" s="325">
        <v>238.3</v>
      </c>
      <c r="G974" s="436">
        <f>ROUND(E974*F974,2)</f>
        <v>21358.83</v>
      </c>
    </row>
    <row r="975" spans="2:7" hidden="1" outlineLevel="2">
      <c r="B975" s="330" t="s">
        <v>1233</v>
      </c>
      <c r="C975" s="121" t="s">
        <v>1234</v>
      </c>
      <c r="D975" s="332" t="s">
        <v>69</v>
      </c>
      <c r="E975" s="332">
        <v>1</v>
      </c>
      <c r="F975" s="325">
        <v>238.3</v>
      </c>
      <c r="G975" s="436">
        <f>ROUND(E975*F975,2)</f>
        <v>238.3</v>
      </c>
    </row>
    <row r="976" spans="2:7" hidden="1" outlineLevel="2">
      <c r="B976" s="330" t="s">
        <v>1235</v>
      </c>
      <c r="C976" s="121" t="s">
        <v>73</v>
      </c>
      <c r="D976" s="332" t="s">
        <v>57</v>
      </c>
      <c r="E976" s="332">
        <v>17.239999999999998</v>
      </c>
      <c r="F976" s="325">
        <v>14.12</v>
      </c>
      <c r="G976" s="436">
        <f>ROUND(E976*F976,2)</f>
        <v>243.43</v>
      </c>
    </row>
    <row r="977" spans="2:7" hidden="1" outlineLevel="2">
      <c r="B977" s="330" t="s">
        <v>1236</v>
      </c>
      <c r="C977" s="121" t="s">
        <v>77</v>
      </c>
      <c r="D977" s="332" t="s">
        <v>69</v>
      </c>
      <c r="E977" s="332">
        <v>90.63</v>
      </c>
      <c r="F977" s="325">
        <v>13.68</v>
      </c>
      <c r="G977" s="436">
        <f>ROUND(E977*F977,2)</f>
        <v>1239.82</v>
      </c>
    </row>
    <row r="978" spans="2:7" hidden="1" outlineLevel="2">
      <c r="B978" s="331" t="s">
        <v>1237</v>
      </c>
      <c r="C978" s="324" t="s">
        <v>79</v>
      </c>
      <c r="D978" s="332"/>
      <c r="E978" s="332"/>
      <c r="F978" s="325"/>
      <c r="G978" s="435">
        <f>+SUBTOTAL(9,G979)</f>
        <v>685.63</v>
      </c>
    </row>
    <row r="979" spans="2:7" hidden="1" outlineLevel="2">
      <c r="B979" s="330" t="s">
        <v>1238</v>
      </c>
      <c r="C979" s="121" t="s">
        <v>81</v>
      </c>
      <c r="D979" s="332" t="s">
        <v>69</v>
      </c>
      <c r="E979" s="332">
        <v>1.72</v>
      </c>
      <c r="F979" s="325">
        <v>398.62</v>
      </c>
      <c r="G979" s="436">
        <f>ROUND(E979*F979,2)</f>
        <v>685.63</v>
      </c>
    </row>
    <row r="980" spans="2:7" hidden="1" outlineLevel="2">
      <c r="B980" s="331" t="s">
        <v>1239</v>
      </c>
      <c r="C980" s="324" t="s">
        <v>85</v>
      </c>
      <c r="D980" s="332"/>
      <c r="E980" s="332"/>
      <c r="F980" s="325"/>
      <c r="G980" s="435">
        <f>+SUBTOTAL(9,G981:G991)</f>
        <v>62699.590000000004</v>
      </c>
    </row>
    <row r="981" spans="2:7" hidden="1" outlineLevel="2">
      <c r="B981" s="331" t="s">
        <v>1240</v>
      </c>
      <c r="C981" s="324" t="s">
        <v>824</v>
      </c>
      <c r="D981" s="332"/>
      <c r="E981" s="332"/>
      <c r="F981" s="325"/>
      <c r="G981" s="435">
        <f>+SUBTOTAL(9,G982:G983)</f>
        <v>8663.75</v>
      </c>
    </row>
    <row r="982" spans="2:7" hidden="1" outlineLevel="2">
      <c r="B982" s="330" t="s">
        <v>1241</v>
      </c>
      <c r="C982" s="121" t="s">
        <v>826</v>
      </c>
      <c r="D982" s="332" t="s">
        <v>69</v>
      </c>
      <c r="E982" s="332">
        <v>4.5599999999999996</v>
      </c>
      <c r="F982" s="325">
        <v>476.71</v>
      </c>
      <c r="G982" s="436">
        <f>ROUND(E982*F982,2)</f>
        <v>2173.8000000000002</v>
      </c>
    </row>
    <row r="983" spans="2:7" hidden="1" outlineLevel="2">
      <c r="B983" s="330" t="s">
        <v>1242</v>
      </c>
      <c r="C983" s="121" t="s">
        <v>830</v>
      </c>
      <c r="D983" s="332" t="s">
        <v>94</v>
      </c>
      <c r="E983" s="332">
        <v>880.59</v>
      </c>
      <c r="F983" s="325">
        <v>7.37</v>
      </c>
      <c r="G983" s="436">
        <f>ROUND(E983*F983,2)</f>
        <v>6489.95</v>
      </c>
    </row>
    <row r="984" spans="2:7" hidden="1" outlineLevel="2">
      <c r="B984" s="331" t="s">
        <v>1243</v>
      </c>
      <c r="C984" s="324" t="s">
        <v>102</v>
      </c>
      <c r="D984" s="332"/>
      <c r="E984" s="332"/>
      <c r="F984" s="325"/>
      <c r="G984" s="435">
        <f>+SUBTOTAL(9,G985:G987)</f>
        <v>49476.94</v>
      </c>
    </row>
    <row r="985" spans="2:7" hidden="1" outlineLevel="2">
      <c r="B985" s="330" t="s">
        <v>1244</v>
      </c>
      <c r="C985" s="121" t="s">
        <v>104</v>
      </c>
      <c r="D985" s="332" t="s">
        <v>69</v>
      </c>
      <c r="E985" s="332">
        <v>25.71</v>
      </c>
      <c r="F985" s="325">
        <v>479.71</v>
      </c>
      <c r="G985" s="436">
        <f>ROUND(E985*F985,2)</f>
        <v>12333.34</v>
      </c>
    </row>
    <row r="986" spans="2:7" hidden="1" outlineLevel="2">
      <c r="B986" s="330" t="s">
        <v>1245</v>
      </c>
      <c r="C986" s="121" t="s">
        <v>106</v>
      </c>
      <c r="D986" s="332" t="s">
        <v>57</v>
      </c>
      <c r="E986" s="332">
        <v>79.58</v>
      </c>
      <c r="F986" s="325">
        <v>64.8</v>
      </c>
      <c r="G986" s="436">
        <f>ROUND(E986*F986,2)</f>
        <v>5156.78</v>
      </c>
    </row>
    <row r="987" spans="2:7" hidden="1" outlineLevel="2">
      <c r="B987" s="330" t="s">
        <v>1246</v>
      </c>
      <c r="C987" s="121" t="s">
        <v>108</v>
      </c>
      <c r="D987" s="332" t="s">
        <v>94</v>
      </c>
      <c r="E987" s="327">
        <v>4259.2299999999996</v>
      </c>
      <c r="F987" s="325">
        <v>7.51</v>
      </c>
      <c r="G987" s="436">
        <f>ROUND(E987*F987,2)</f>
        <v>31986.82</v>
      </c>
    </row>
    <row r="988" spans="2:7" hidden="1" outlineLevel="2">
      <c r="B988" s="331" t="s">
        <v>1247</v>
      </c>
      <c r="C988" s="324" t="s">
        <v>840</v>
      </c>
      <c r="D988" s="332"/>
      <c r="E988" s="332"/>
      <c r="F988" s="325"/>
      <c r="G988" s="435">
        <f>+SUBTOTAL(9,G989:G991)</f>
        <v>4558.8999999999996</v>
      </c>
    </row>
    <row r="989" spans="2:7" hidden="1" outlineLevel="2">
      <c r="B989" s="330" t="s">
        <v>1248</v>
      </c>
      <c r="C989" s="121" t="s">
        <v>842</v>
      </c>
      <c r="D989" s="332" t="s">
        <v>69</v>
      </c>
      <c r="E989" s="332">
        <v>1.95</v>
      </c>
      <c r="F989" s="325">
        <v>476.71</v>
      </c>
      <c r="G989" s="436">
        <f>ROUND(E989*F989,2)</f>
        <v>929.58</v>
      </c>
    </row>
    <row r="990" spans="2:7" hidden="1" outlineLevel="2">
      <c r="B990" s="330" t="s">
        <v>1249</v>
      </c>
      <c r="C990" s="121" t="s">
        <v>252</v>
      </c>
      <c r="D990" s="332" t="s">
        <v>57</v>
      </c>
      <c r="E990" s="332">
        <v>9.76</v>
      </c>
      <c r="F990" s="325">
        <v>60.67</v>
      </c>
      <c r="G990" s="436">
        <f>ROUND(E990*F990,2)</f>
        <v>592.14</v>
      </c>
    </row>
    <row r="991" spans="2:7" hidden="1" outlineLevel="2">
      <c r="B991" s="330" t="s">
        <v>1250</v>
      </c>
      <c r="C991" s="121" t="s">
        <v>254</v>
      </c>
      <c r="D991" s="332" t="s">
        <v>94</v>
      </c>
      <c r="E991" s="332">
        <v>406.04</v>
      </c>
      <c r="F991" s="325">
        <v>7.48</v>
      </c>
      <c r="G991" s="436">
        <f>ROUND(E991*F991,2)</f>
        <v>3037.18</v>
      </c>
    </row>
    <row r="992" spans="2:7" hidden="1" outlineLevel="2">
      <c r="B992" s="331" t="s">
        <v>1251</v>
      </c>
      <c r="C992" s="324" t="s">
        <v>134</v>
      </c>
      <c r="D992" s="332"/>
      <c r="E992" s="332"/>
      <c r="F992" s="325"/>
      <c r="G992" s="435">
        <f>+SUBTOTAL(9,G993:G999)</f>
        <v>6864.01</v>
      </c>
    </row>
    <row r="993" spans="2:7" ht="30" hidden="1" outlineLevel="2">
      <c r="B993" s="330" t="s">
        <v>1252</v>
      </c>
      <c r="C993" s="121" t="s">
        <v>136</v>
      </c>
      <c r="D993" s="332" t="s">
        <v>57</v>
      </c>
      <c r="E993" s="332">
        <v>12.4</v>
      </c>
      <c r="F993" s="325">
        <v>28.74</v>
      </c>
      <c r="G993" s="436">
        <f t="shared" ref="G993:G999" si="18">ROUND(E993*F993,2)</f>
        <v>356.38</v>
      </c>
    </row>
    <row r="994" spans="2:7" ht="30" hidden="1" outlineLevel="2">
      <c r="B994" s="330" t="s">
        <v>1253</v>
      </c>
      <c r="C994" s="121" t="s">
        <v>138</v>
      </c>
      <c r="D994" s="332" t="s">
        <v>57</v>
      </c>
      <c r="E994" s="332">
        <v>12.4</v>
      </c>
      <c r="F994" s="325">
        <v>28.74</v>
      </c>
      <c r="G994" s="436">
        <f t="shared" si="18"/>
        <v>356.38</v>
      </c>
    </row>
    <row r="995" spans="2:7" ht="30" hidden="1" outlineLevel="2">
      <c r="B995" s="330" t="s">
        <v>1254</v>
      </c>
      <c r="C995" s="121" t="s">
        <v>140</v>
      </c>
      <c r="D995" s="332" t="s">
        <v>57</v>
      </c>
      <c r="E995" s="332">
        <v>79.58</v>
      </c>
      <c r="F995" s="325">
        <v>28.74</v>
      </c>
      <c r="G995" s="436">
        <f t="shared" si="18"/>
        <v>2287.13</v>
      </c>
    </row>
    <row r="996" spans="2:7" ht="30" hidden="1" outlineLevel="2">
      <c r="B996" s="330" t="s">
        <v>1255</v>
      </c>
      <c r="C996" s="121" t="s">
        <v>142</v>
      </c>
      <c r="D996" s="332" t="s">
        <v>57</v>
      </c>
      <c r="E996" s="332">
        <v>79.58</v>
      </c>
      <c r="F996" s="325">
        <v>29.3</v>
      </c>
      <c r="G996" s="436">
        <f t="shared" si="18"/>
        <v>2331.69</v>
      </c>
    </row>
    <row r="997" spans="2:7" ht="30" hidden="1" outlineLevel="2">
      <c r="B997" s="330" t="s">
        <v>1256</v>
      </c>
      <c r="C997" s="121" t="s">
        <v>1257</v>
      </c>
      <c r="D997" s="332" t="s">
        <v>57</v>
      </c>
      <c r="E997" s="332">
        <v>9.76</v>
      </c>
      <c r="F997" s="325">
        <v>56.25</v>
      </c>
      <c r="G997" s="436">
        <f t="shared" si="18"/>
        <v>549</v>
      </c>
    </row>
    <row r="998" spans="2:7" ht="30" hidden="1" outlineLevel="2">
      <c r="B998" s="330" t="s">
        <v>1258</v>
      </c>
      <c r="C998" s="121" t="s">
        <v>1259</v>
      </c>
      <c r="D998" s="332" t="s">
        <v>57</v>
      </c>
      <c r="E998" s="332">
        <v>9.76</v>
      </c>
      <c r="F998" s="325">
        <v>56.25</v>
      </c>
      <c r="G998" s="436">
        <f t="shared" si="18"/>
        <v>549</v>
      </c>
    </row>
    <row r="999" spans="2:7" hidden="1" outlineLevel="2">
      <c r="B999" s="330" t="s">
        <v>1260</v>
      </c>
      <c r="C999" s="121" t="s">
        <v>156</v>
      </c>
      <c r="D999" s="332" t="s">
        <v>57</v>
      </c>
      <c r="E999" s="332">
        <v>101.74</v>
      </c>
      <c r="F999" s="325">
        <v>4.2699999999999996</v>
      </c>
      <c r="G999" s="436">
        <f t="shared" si="18"/>
        <v>434.43</v>
      </c>
    </row>
    <row r="1000" spans="2:7" hidden="1" outlineLevel="2">
      <c r="B1000" s="331" t="s">
        <v>1261</v>
      </c>
      <c r="C1000" s="324" t="s">
        <v>162</v>
      </c>
      <c r="D1000" s="332"/>
      <c r="E1000" s="332"/>
      <c r="F1000" s="325"/>
      <c r="G1000" s="435">
        <f>+SUBTOTAL(9,G1001:G1002)</f>
        <v>12630.84</v>
      </c>
    </row>
    <row r="1001" spans="2:7" hidden="1" outlineLevel="2">
      <c r="B1001" s="330" t="s">
        <v>1262</v>
      </c>
      <c r="C1001" s="121" t="s">
        <v>164</v>
      </c>
      <c r="D1001" s="332" t="s">
        <v>64</v>
      </c>
      <c r="E1001" s="332">
        <v>5</v>
      </c>
      <c r="F1001" s="325">
        <v>1663.38</v>
      </c>
      <c r="G1001" s="436">
        <f>ROUND(E1001*F1001,2)</f>
        <v>8316.9</v>
      </c>
    </row>
    <row r="1002" spans="2:7" ht="30" hidden="1" outlineLevel="2">
      <c r="B1002" s="330" t="s">
        <v>1263</v>
      </c>
      <c r="C1002" s="121" t="s">
        <v>1264</v>
      </c>
      <c r="D1002" s="332" t="s">
        <v>43</v>
      </c>
      <c r="E1002" s="332">
        <v>1</v>
      </c>
      <c r="F1002" s="325">
        <v>4313.9399999999996</v>
      </c>
      <c r="G1002" s="436">
        <f>ROUND(E1002*F1002,2)</f>
        <v>4313.9399999999996</v>
      </c>
    </row>
    <row r="1003" spans="2:7" hidden="1" outlineLevel="2">
      <c r="B1003" s="331" t="s">
        <v>1265</v>
      </c>
      <c r="C1003" s="324" t="s">
        <v>178</v>
      </c>
      <c r="D1003" s="332"/>
      <c r="E1003" s="332"/>
      <c r="F1003" s="325"/>
      <c r="G1003" s="435">
        <f>+SUBTOTAL(9,G1004:G1006)</f>
        <v>3516.9</v>
      </c>
    </row>
    <row r="1004" spans="2:7" ht="30" hidden="1" outlineLevel="2">
      <c r="B1004" s="330" t="s">
        <v>1266</v>
      </c>
      <c r="C1004" s="121" t="s">
        <v>651</v>
      </c>
      <c r="D1004" s="332" t="s">
        <v>69</v>
      </c>
      <c r="E1004" s="332">
        <v>62</v>
      </c>
      <c r="F1004" s="325">
        <v>48.95</v>
      </c>
      <c r="G1004" s="436">
        <f>ROUND(E1004*F1004,2)</f>
        <v>3034.9</v>
      </c>
    </row>
    <row r="1005" spans="2:7" hidden="1" outlineLevel="2">
      <c r="B1005" s="330" t="s">
        <v>1267</v>
      </c>
      <c r="C1005" s="121" t="s">
        <v>182</v>
      </c>
      <c r="D1005" s="332" t="s">
        <v>57</v>
      </c>
      <c r="E1005" s="332">
        <v>101.74</v>
      </c>
      <c r="F1005" s="325">
        <v>1.64</v>
      </c>
      <c r="G1005" s="436">
        <f>ROUND(E1005*F1005,2)</f>
        <v>166.85</v>
      </c>
    </row>
    <row r="1006" spans="2:7" hidden="1" outlineLevel="2">
      <c r="B1006" s="330" t="s">
        <v>1267</v>
      </c>
      <c r="C1006" s="121" t="s">
        <v>183</v>
      </c>
      <c r="D1006" s="332" t="s">
        <v>43</v>
      </c>
      <c r="E1006" s="332">
        <v>11</v>
      </c>
      <c r="F1006" s="325">
        <v>28.65</v>
      </c>
      <c r="G1006" s="436">
        <f>ROUND(E1006*F1006,2)</f>
        <v>315.14999999999998</v>
      </c>
    </row>
    <row r="1007" spans="2:7" hidden="1" outlineLevel="2">
      <c r="B1007" s="331" t="s">
        <v>1268</v>
      </c>
      <c r="C1007" s="324" t="s">
        <v>185</v>
      </c>
      <c r="D1007" s="332"/>
      <c r="E1007" s="332"/>
      <c r="F1007" s="325"/>
      <c r="G1007" s="435">
        <f>+SUBTOTAL(9,G1008)</f>
        <v>917.52</v>
      </c>
    </row>
    <row r="1008" spans="2:7" hidden="1" outlineLevel="2">
      <c r="B1008" s="330" t="s">
        <v>1269</v>
      </c>
      <c r="C1008" s="121" t="s">
        <v>378</v>
      </c>
      <c r="D1008" s="332" t="s">
        <v>57</v>
      </c>
      <c r="E1008" s="332">
        <v>89.34</v>
      </c>
      <c r="F1008" s="325">
        <v>10.27</v>
      </c>
      <c r="G1008" s="436">
        <f>ROUND(E1008*F1008,2)</f>
        <v>917.52</v>
      </c>
    </row>
    <row r="1009" spans="2:7" hidden="1" outlineLevel="1" collapsed="1">
      <c r="B1009" s="331" t="s">
        <v>1270</v>
      </c>
      <c r="C1009" s="324" t="s">
        <v>868</v>
      </c>
      <c r="D1009" s="332"/>
      <c r="E1009" s="332"/>
      <c r="F1009" s="325"/>
      <c r="G1009" s="435">
        <f>+SUBTOTAL(9,G1010:G1072)</f>
        <v>97183.170000000042</v>
      </c>
    </row>
    <row r="1010" spans="2:7" hidden="1" outlineLevel="2">
      <c r="B1010" s="331" t="s">
        <v>1271</v>
      </c>
      <c r="C1010" s="324" t="s">
        <v>66</v>
      </c>
      <c r="D1010" s="332"/>
      <c r="E1010" s="332"/>
      <c r="F1010" s="325"/>
      <c r="G1010" s="435">
        <f>+SUBTOTAL(9,G1011:G1014)</f>
        <v>4078.5200000000004</v>
      </c>
    </row>
    <row r="1011" spans="2:7" hidden="1" outlineLevel="2">
      <c r="B1011" s="330" t="s">
        <v>1272</v>
      </c>
      <c r="C1011" s="121" t="s">
        <v>1234</v>
      </c>
      <c r="D1011" s="332" t="s">
        <v>69</v>
      </c>
      <c r="E1011" s="332">
        <v>13.76</v>
      </c>
      <c r="F1011" s="325">
        <v>238.3</v>
      </c>
      <c r="G1011" s="436">
        <f>ROUND(E1011*F1011,2)</f>
        <v>3279.01</v>
      </c>
    </row>
    <row r="1012" spans="2:7" hidden="1" outlineLevel="2">
      <c r="B1012" s="330" t="s">
        <v>1273</v>
      </c>
      <c r="C1012" s="121" t="s">
        <v>73</v>
      </c>
      <c r="D1012" s="332" t="s">
        <v>57</v>
      </c>
      <c r="E1012" s="332">
        <v>17.100000000000001</v>
      </c>
      <c r="F1012" s="325">
        <v>14.12</v>
      </c>
      <c r="G1012" s="436">
        <f>ROUND(E1012*F1012,2)</f>
        <v>241.45</v>
      </c>
    </row>
    <row r="1013" spans="2:7" hidden="1" outlineLevel="2">
      <c r="B1013" s="330" t="s">
        <v>1274</v>
      </c>
      <c r="C1013" s="121" t="s">
        <v>75</v>
      </c>
      <c r="D1013" s="332" t="s">
        <v>69</v>
      </c>
      <c r="E1013" s="332">
        <v>3.83</v>
      </c>
      <c r="F1013" s="325">
        <v>96.56</v>
      </c>
      <c r="G1013" s="436">
        <f>ROUND(E1013*F1013,2)</f>
        <v>369.82</v>
      </c>
    </row>
    <row r="1014" spans="2:7" hidden="1" outlineLevel="2">
      <c r="B1014" s="330" t="s">
        <v>1275</v>
      </c>
      <c r="C1014" s="121" t="s">
        <v>77</v>
      </c>
      <c r="D1014" s="332" t="s">
        <v>69</v>
      </c>
      <c r="E1014" s="332">
        <v>13.76</v>
      </c>
      <c r="F1014" s="325">
        <v>13.68</v>
      </c>
      <c r="G1014" s="436">
        <f>ROUND(E1014*F1014,2)</f>
        <v>188.24</v>
      </c>
    </row>
    <row r="1015" spans="2:7" hidden="1" outlineLevel="2">
      <c r="B1015" s="331" t="s">
        <v>1276</v>
      </c>
      <c r="C1015" s="324" t="s">
        <v>79</v>
      </c>
      <c r="D1015" s="332"/>
      <c r="E1015" s="332"/>
      <c r="F1015" s="325"/>
      <c r="G1015" s="435">
        <f>+SUBTOTAL(9,G1016:G1021)</f>
        <v>4348.04</v>
      </c>
    </row>
    <row r="1016" spans="2:7" hidden="1" outlineLevel="2">
      <c r="B1016" s="330" t="s">
        <v>1277</v>
      </c>
      <c r="C1016" s="121" t="s">
        <v>81</v>
      </c>
      <c r="D1016" s="332" t="s">
        <v>69</v>
      </c>
      <c r="E1016" s="332">
        <v>2.39</v>
      </c>
      <c r="F1016" s="325">
        <v>398.62</v>
      </c>
      <c r="G1016" s="436">
        <f t="shared" ref="G1016:G1021" si="19">ROUND(E1016*F1016,2)</f>
        <v>952.7</v>
      </c>
    </row>
    <row r="1017" spans="2:7" hidden="1" outlineLevel="2">
      <c r="B1017" s="330" t="s">
        <v>1278</v>
      </c>
      <c r="C1017" s="121" t="s">
        <v>208</v>
      </c>
      <c r="D1017" s="332" t="s">
        <v>69</v>
      </c>
      <c r="E1017" s="332">
        <v>5.57</v>
      </c>
      <c r="F1017" s="325">
        <v>372.28</v>
      </c>
      <c r="G1017" s="436">
        <f t="shared" si="19"/>
        <v>2073.6</v>
      </c>
    </row>
    <row r="1018" spans="2:7" hidden="1" outlineLevel="2">
      <c r="B1018" s="330" t="s">
        <v>1279</v>
      </c>
      <c r="C1018" s="121" t="s">
        <v>210</v>
      </c>
      <c r="D1018" s="332" t="s">
        <v>69</v>
      </c>
      <c r="E1018" s="332">
        <v>0.98</v>
      </c>
      <c r="F1018" s="325">
        <v>482.43</v>
      </c>
      <c r="G1018" s="436">
        <f t="shared" si="19"/>
        <v>472.78</v>
      </c>
    </row>
    <row r="1019" spans="2:7" hidden="1" outlineLevel="2">
      <c r="B1019" s="330" t="s">
        <v>1280</v>
      </c>
      <c r="C1019" s="121" t="s">
        <v>212</v>
      </c>
      <c r="D1019" s="332" t="s">
        <v>57</v>
      </c>
      <c r="E1019" s="332">
        <v>10.82</v>
      </c>
      <c r="F1019" s="325">
        <v>45</v>
      </c>
      <c r="G1019" s="436">
        <f t="shared" si="19"/>
        <v>486.9</v>
      </c>
    </row>
    <row r="1020" spans="2:7" hidden="1" outlineLevel="2">
      <c r="B1020" s="330" t="s">
        <v>1281</v>
      </c>
      <c r="C1020" s="121" t="s">
        <v>214</v>
      </c>
      <c r="D1020" s="332" t="s">
        <v>69</v>
      </c>
      <c r="E1020" s="332">
        <v>0.52</v>
      </c>
      <c r="F1020" s="325">
        <v>571.69000000000005</v>
      </c>
      <c r="G1020" s="436">
        <f t="shared" si="19"/>
        <v>297.27999999999997</v>
      </c>
    </row>
    <row r="1021" spans="2:7" hidden="1" outlineLevel="2">
      <c r="B1021" s="330" t="s">
        <v>1282</v>
      </c>
      <c r="C1021" s="121" t="s">
        <v>216</v>
      </c>
      <c r="D1021" s="332" t="s">
        <v>57</v>
      </c>
      <c r="E1021" s="332">
        <v>1.46</v>
      </c>
      <c r="F1021" s="325">
        <v>44.37</v>
      </c>
      <c r="G1021" s="436">
        <f t="shared" si="19"/>
        <v>64.78</v>
      </c>
    </row>
    <row r="1022" spans="2:7" hidden="1" outlineLevel="2">
      <c r="B1022" s="331" t="s">
        <v>1283</v>
      </c>
      <c r="C1022" s="324" t="s">
        <v>85</v>
      </c>
      <c r="D1022" s="332"/>
      <c r="E1022" s="332"/>
      <c r="F1022" s="325"/>
      <c r="G1022" s="435">
        <f>+SUBTOTAL(9,G1023:G1044)</f>
        <v>57571.799999999996</v>
      </c>
    </row>
    <row r="1023" spans="2:7" hidden="1" outlineLevel="2">
      <c r="B1023" s="331" t="s">
        <v>1284</v>
      </c>
      <c r="C1023" s="324" t="s">
        <v>974</v>
      </c>
      <c r="D1023" s="332"/>
      <c r="E1023" s="332"/>
      <c r="F1023" s="325"/>
      <c r="G1023" s="435">
        <f>+SUBTOTAL(9,G1024:G1025)</f>
        <v>2428.62</v>
      </c>
    </row>
    <row r="1024" spans="2:7" hidden="1" outlineLevel="2">
      <c r="B1024" s="330" t="s">
        <v>1285</v>
      </c>
      <c r="C1024" s="121" t="s">
        <v>220</v>
      </c>
      <c r="D1024" s="332" t="s">
        <v>69</v>
      </c>
      <c r="E1024" s="332">
        <v>3.9</v>
      </c>
      <c r="F1024" s="325">
        <v>417.1</v>
      </c>
      <c r="G1024" s="436">
        <f>ROUND(E1024*F1024,2)</f>
        <v>1626.69</v>
      </c>
    </row>
    <row r="1025" spans="2:7" hidden="1" outlineLevel="2">
      <c r="B1025" s="330" t="s">
        <v>1286</v>
      </c>
      <c r="C1025" s="121" t="s">
        <v>93</v>
      </c>
      <c r="D1025" s="332" t="s">
        <v>94</v>
      </c>
      <c r="E1025" s="332">
        <v>108.81</v>
      </c>
      <c r="F1025" s="325">
        <v>7.37</v>
      </c>
      <c r="G1025" s="436">
        <f>ROUND(E1025*F1025,2)</f>
        <v>801.93</v>
      </c>
    </row>
    <row r="1026" spans="2:7" hidden="1" outlineLevel="2">
      <c r="B1026" s="331" t="s">
        <v>1287</v>
      </c>
      <c r="C1026" s="324" t="s">
        <v>96</v>
      </c>
      <c r="D1026" s="332"/>
      <c r="E1026" s="332"/>
      <c r="F1026" s="325"/>
      <c r="G1026" s="435">
        <f>+SUBTOTAL(9,G1027:G1028)</f>
        <v>4697.1099999999997</v>
      </c>
    </row>
    <row r="1027" spans="2:7" hidden="1" outlineLevel="2">
      <c r="B1027" s="330" t="s">
        <v>1288</v>
      </c>
      <c r="C1027" s="121" t="s">
        <v>224</v>
      </c>
      <c r="D1027" s="332" t="s">
        <v>69</v>
      </c>
      <c r="E1027" s="332">
        <v>6.39</v>
      </c>
      <c r="F1027" s="325">
        <v>417.1</v>
      </c>
      <c r="G1027" s="436">
        <f>ROUND(E1027*F1027,2)</f>
        <v>2665.27</v>
      </c>
    </row>
    <row r="1028" spans="2:7" hidden="1" outlineLevel="2">
      <c r="B1028" s="330" t="s">
        <v>1289</v>
      </c>
      <c r="C1028" s="121" t="s">
        <v>100</v>
      </c>
      <c r="D1028" s="332" t="s">
        <v>94</v>
      </c>
      <c r="E1028" s="332">
        <v>275.69</v>
      </c>
      <c r="F1028" s="325">
        <v>7.37</v>
      </c>
      <c r="G1028" s="436">
        <f>ROUND(E1028*F1028,2)</f>
        <v>2031.84</v>
      </c>
    </row>
    <row r="1029" spans="2:7" hidden="1" outlineLevel="2">
      <c r="B1029" s="331" t="s">
        <v>1290</v>
      </c>
      <c r="C1029" s="324" t="s">
        <v>227</v>
      </c>
      <c r="D1029" s="332"/>
      <c r="E1029" s="332"/>
      <c r="F1029" s="325"/>
      <c r="G1029" s="435">
        <f>+SUBTOTAL(9,G1030:G1032)</f>
        <v>6779.82</v>
      </c>
    </row>
    <row r="1030" spans="2:7" hidden="1" outlineLevel="2">
      <c r="B1030" s="330" t="s">
        <v>1291</v>
      </c>
      <c r="C1030" s="121" t="s">
        <v>229</v>
      </c>
      <c r="D1030" s="332" t="s">
        <v>69</v>
      </c>
      <c r="E1030" s="332">
        <v>3.15</v>
      </c>
      <c r="F1030" s="325">
        <v>427.59</v>
      </c>
      <c r="G1030" s="436">
        <f>ROUND(E1030*F1030,2)</f>
        <v>1346.91</v>
      </c>
    </row>
    <row r="1031" spans="2:7" hidden="1" outlineLevel="2">
      <c r="B1031" s="330" t="s">
        <v>1292</v>
      </c>
      <c r="C1031" s="121" t="s">
        <v>231</v>
      </c>
      <c r="D1031" s="332" t="s">
        <v>57</v>
      </c>
      <c r="E1031" s="332">
        <v>32.159999999999997</v>
      </c>
      <c r="F1031" s="325">
        <v>65.900000000000006</v>
      </c>
      <c r="G1031" s="436">
        <f>ROUND(E1031*F1031,2)</f>
        <v>2119.34</v>
      </c>
    </row>
    <row r="1032" spans="2:7" hidden="1" outlineLevel="2">
      <c r="B1032" s="330" t="s">
        <v>1293</v>
      </c>
      <c r="C1032" s="121" t="s">
        <v>233</v>
      </c>
      <c r="D1032" s="332" t="s">
        <v>94</v>
      </c>
      <c r="E1032" s="332">
        <v>442.99</v>
      </c>
      <c r="F1032" s="325">
        <v>7.48</v>
      </c>
      <c r="G1032" s="436">
        <f>ROUND(E1032*F1032,2)</f>
        <v>3313.57</v>
      </c>
    </row>
    <row r="1033" spans="2:7" hidden="1" outlineLevel="2">
      <c r="B1033" s="331" t="s">
        <v>1294</v>
      </c>
      <c r="C1033" s="324" t="s">
        <v>235</v>
      </c>
      <c r="D1033" s="332"/>
      <c r="E1033" s="332"/>
      <c r="F1033" s="325"/>
      <c r="G1033" s="435">
        <f>+SUBTOTAL(9,G1034:G1036)</f>
        <v>16279.97</v>
      </c>
    </row>
    <row r="1034" spans="2:7" hidden="1" outlineLevel="2">
      <c r="B1034" s="330" t="s">
        <v>1295</v>
      </c>
      <c r="C1034" s="121" t="s">
        <v>237</v>
      </c>
      <c r="D1034" s="332" t="s">
        <v>69</v>
      </c>
      <c r="E1034" s="332">
        <v>10.119999999999999</v>
      </c>
      <c r="F1034" s="325">
        <v>427.59</v>
      </c>
      <c r="G1034" s="436">
        <f>ROUND(E1034*F1034,2)</f>
        <v>4327.21</v>
      </c>
    </row>
    <row r="1035" spans="2:7" hidden="1" outlineLevel="2">
      <c r="B1035" s="330" t="s">
        <v>1296</v>
      </c>
      <c r="C1035" s="121" t="s">
        <v>106</v>
      </c>
      <c r="D1035" s="332" t="s">
        <v>57</v>
      </c>
      <c r="E1035" s="332">
        <v>134.86000000000001</v>
      </c>
      <c r="F1035" s="325">
        <v>64.8</v>
      </c>
      <c r="G1035" s="436">
        <f>ROUND(E1035*F1035,2)</f>
        <v>8738.93</v>
      </c>
    </row>
    <row r="1036" spans="2:7" hidden="1" outlineLevel="2">
      <c r="B1036" s="330" t="s">
        <v>1297</v>
      </c>
      <c r="C1036" s="121" t="s">
        <v>108</v>
      </c>
      <c r="D1036" s="332" t="s">
        <v>94</v>
      </c>
      <c r="E1036" s="332">
        <v>427.94</v>
      </c>
      <c r="F1036" s="325">
        <v>7.51</v>
      </c>
      <c r="G1036" s="436">
        <f>ROUND(E1036*F1036,2)</f>
        <v>3213.83</v>
      </c>
    </row>
    <row r="1037" spans="2:7" hidden="1" outlineLevel="2">
      <c r="B1037" s="331" t="s">
        <v>1298</v>
      </c>
      <c r="C1037" s="121" t="s">
        <v>241</v>
      </c>
      <c r="D1037" s="332"/>
      <c r="E1037" s="332"/>
      <c r="F1037" s="325"/>
      <c r="G1037" s="435">
        <f>+SUBTOTAL(9,G1038:G1040)</f>
        <v>11849</v>
      </c>
    </row>
    <row r="1038" spans="2:7" hidden="1" outlineLevel="2">
      <c r="B1038" s="330" t="s">
        <v>1299</v>
      </c>
      <c r="C1038" s="121" t="s">
        <v>333</v>
      </c>
      <c r="D1038" s="332" t="s">
        <v>69</v>
      </c>
      <c r="E1038" s="332">
        <v>5.61</v>
      </c>
      <c r="F1038" s="325">
        <v>427.59</v>
      </c>
      <c r="G1038" s="436">
        <f>ROUND(E1038*F1038,2)</f>
        <v>2398.7800000000002</v>
      </c>
    </row>
    <row r="1039" spans="2:7" hidden="1" outlineLevel="2">
      <c r="B1039" s="330" t="s">
        <v>1300</v>
      </c>
      <c r="C1039" s="121" t="s">
        <v>122</v>
      </c>
      <c r="D1039" s="332" t="s">
        <v>57</v>
      </c>
      <c r="E1039" s="332">
        <v>37.5</v>
      </c>
      <c r="F1039" s="325">
        <v>75.39</v>
      </c>
      <c r="G1039" s="436">
        <f>ROUND(E1039*F1039,2)</f>
        <v>2827.13</v>
      </c>
    </row>
    <row r="1040" spans="2:7" hidden="1" outlineLevel="2">
      <c r="B1040" s="330" t="s">
        <v>1301</v>
      </c>
      <c r="C1040" s="121" t="s">
        <v>336</v>
      </c>
      <c r="D1040" s="332" t="s">
        <v>94</v>
      </c>
      <c r="E1040" s="332">
        <v>885.44</v>
      </c>
      <c r="F1040" s="325">
        <v>7.48</v>
      </c>
      <c r="G1040" s="436">
        <f>ROUND(E1040*F1040,2)</f>
        <v>6623.09</v>
      </c>
    </row>
    <row r="1041" spans="2:7" hidden="1" outlineLevel="2">
      <c r="B1041" s="331" t="s">
        <v>1302</v>
      </c>
      <c r="C1041" s="324" t="s">
        <v>695</v>
      </c>
      <c r="D1041" s="332"/>
      <c r="E1041" s="332"/>
      <c r="F1041" s="325"/>
      <c r="G1041" s="435">
        <f>+SUBTOTAL(9,G1042:G1044)</f>
        <v>15537.28</v>
      </c>
    </row>
    <row r="1042" spans="2:7" hidden="1" outlineLevel="2">
      <c r="B1042" s="330" t="s">
        <v>1303</v>
      </c>
      <c r="C1042" s="121" t="s">
        <v>339</v>
      </c>
      <c r="D1042" s="332" t="s">
        <v>69</v>
      </c>
      <c r="E1042" s="332">
        <v>10.029999999999999</v>
      </c>
      <c r="F1042" s="325">
        <v>417.1</v>
      </c>
      <c r="G1042" s="436">
        <f>ROUND(E1042*F1042,2)</f>
        <v>4183.51</v>
      </c>
    </row>
    <row r="1043" spans="2:7" hidden="1" outlineLevel="2">
      <c r="B1043" s="330" t="s">
        <v>1304</v>
      </c>
      <c r="C1043" s="121" t="s">
        <v>252</v>
      </c>
      <c r="D1043" s="332" t="s">
        <v>57</v>
      </c>
      <c r="E1043" s="332">
        <v>72.22</v>
      </c>
      <c r="F1043" s="325">
        <v>60.67</v>
      </c>
      <c r="G1043" s="436">
        <f>ROUND(E1043*F1043,2)</f>
        <v>4381.59</v>
      </c>
    </row>
    <row r="1044" spans="2:7" hidden="1" outlineLevel="2">
      <c r="B1044" s="330" t="s">
        <v>1305</v>
      </c>
      <c r="C1044" s="121" t="s">
        <v>254</v>
      </c>
      <c r="D1044" s="332" t="s">
        <v>94</v>
      </c>
      <c r="E1044" s="332">
        <v>932.11</v>
      </c>
      <c r="F1044" s="325">
        <v>7.48</v>
      </c>
      <c r="G1044" s="436">
        <f>ROUND(E1044*F1044,2)</f>
        <v>6972.18</v>
      </c>
    </row>
    <row r="1045" spans="2:7" hidden="1" outlineLevel="2">
      <c r="B1045" s="331" t="s">
        <v>1306</v>
      </c>
      <c r="C1045" s="324" t="s">
        <v>134</v>
      </c>
      <c r="D1045" s="332"/>
      <c r="E1045" s="332"/>
      <c r="F1045" s="325"/>
      <c r="G1045" s="435">
        <f>+SUBTOTAL(9,G1046:G1057)</f>
        <v>15809.66</v>
      </c>
    </row>
    <row r="1046" spans="2:7" ht="30" hidden="1" outlineLevel="2">
      <c r="B1046" s="330" t="s">
        <v>1307</v>
      </c>
      <c r="C1046" s="121" t="s">
        <v>257</v>
      </c>
      <c r="D1046" s="332" t="s">
        <v>57</v>
      </c>
      <c r="E1046" s="332">
        <v>81.430000000000007</v>
      </c>
      <c r="F1046" s="325">
        <v>27.37</v>
      </c>
      <c r="G1046" s="436">
        <f t="shared" ref="G1046:G1057" si="20">ROUND(E1046*F1046,2)</f>
        <v>2228.7399999999998</v>
      </c>
    </row>
    <row r="1047" spans="2:7" ht="30" hidden="1" outlineLevel="2">
      <c r="B1047" s="330" t="s">
        <v>1308</v>
      </c>
      <c r="C1047" s="121" t="s">
        <v>259</v>
      </c>
      <c r="D1047" s="332" t="s">
        <v>57</v>
      </c>
      <c r="E1047" s="332">
        <v>81.430000000000007</v>
      </c>
      <c r="F1047" s="325">
        <v>27.37</v>
      </c>
      <c r="G1047" s="436">
        <f t="shared" si="20"/>
        <v>2228.7399999999998</v>
      </c>
    </row>
    <row r="1048" spans="2:7" ht="30" hidden="1" outlineLevel="2">
      <c r="B1048" s="330" t="s">
        <v>1309</v>
      </c>
      <c r="C1048" s="121" t="s">
        <v>261</v>
      </c>
      <c r="D1048" s="332" t="s">
        <v>57</v>
      </c>
      <c r="E1048" s="332">
        <v>88.17</v>
      </c>
      <c r="F1048" s="325">
        <v>27.37</v>
      </c>
      <c r="G1048" s="436">
        <f t="shared" si="20"/>
        <v>2413.21</v>
      </c>
    </row>
    <row r="1049" spans="2:7" ht="30" hidden="1" outlineLevel="2">
      <c r="B1049" s="330" t="s">
        <v>1310</v>
      </c>
      <c r="C1049" s="121" t="s">
        <v>263</v>
      </c>
      <c r="D1049" s="332" t="s">
        <v>57</v>
      </c>
      <c r="E1049" s="332">
        <v>88.17</v>
      </c>
      <c r="F1049" s="325">
        <v>27.37</v>
      </c>
      <c r="G1049" s="436">
        <f t="shared" si="20"/>
        <v>2413.21</v>
      </c>
    </row>
    <row r="1050" spans="2:7" ht="30" hidden="1" outlineLevel="2">
      <c r="B1050" s="330" t="s">
        <v>1311</v>
      </c>
      <c r="C1050" s="121" t="s">
        <v>265</v>
      </c>
      <c r="D1050" s="332" t="s">
        <v>57</v>
      </c>
      <c r="E1050" s="332">
        <v>66.91</v>
      </c>
      <c r="F1050" s="325">
        <v>27.37</v>
      </c>
      <c r="G1050" s="436">
        <f t="shared" si="20"/>
        <v>1831.33</v>
      </c>
    </row>
    <row r="1051" spans="2:7" ht="30" hidden="1" outlineLevel="2">
      <c r="B1051" s="330" t="s">
        <v>1312</v>
      </c>
      <c r="C1051" s="121" t="s">
        <v>267</v>
      </c>
      <c r="D1051" s="332" t="s">
        <v>57</v>
      </c>
      <c r="E1051" s="332">
        <v>66.91</v>
      </c>
      <c r="F1051" s="325">
        <v>27.37</v>
      </c>
      <c r="G1051" s="436">
        <f t="shared" si="20"/>
        <v>1831.33</v>
      </c>
    </row>
    <row r="1052" spans="2:7" ht="30" hidden="1" outlineLevel="2">
      <c r="B1052" s="330" t="s">
        <v>1313</v>
      </c>
      <c r="C1052" s="121" t="s">
        <v>269</v>
      </c>
      <c r="D1052" s="332" t="s">
        <v>57</v>
      </c>
      <c r="E1052" s="332">
        <v>5.31</v>
      </c>
      <c r="F1052" s="325">
        <v>27.37</v>
      </c>
      <c r="G1052" s="436">
        <f t="shared" si="20"/>
        <v>145.33000000000001</v>
      </c>
    </row>
    <row r="1053" spans="2:7" ht="30" hidden="1" outlineLevel="2">
      <c r="B1053" s="330" t="s">
        <v>1314</v>
      </c>
      <c r="C1053" s="121" t="s">
        <v>271</v>
      </c>
      <c r="D1053" s="332" t="s">
        <v>57</v>
      </c>
      <c r="E1053" s="332">
        <v>5.31</v>
      </c>
      <c r="F1053" s="325">
        <v>27.37</v>
      </c>
      <c r="G1053" s="436">
        <f t="shared" si="20"/>
        <v>145.33000000000001</v>
      </c>
    </row>
    <row r="1054" spans="2:7" ht="30" hidden="1" outlineLevel="2">
      <c r="B1054" s="330" t="s">
        <v>1315</v>
      </c>
      <c r="C1054" s="121" t="s">
        <v>273</v>
      </c>
      <c r="D1054" s="332" t="s">
        <v>57</v>
      </c>
      <c r="E1054" s="332">
        <v>9.5399999999999991</v>
      </c>
      <c r="F1054" s="325">
        <v>27.37</v>
      </c>
      <c r="G1054" s="436">
        <f t="shared" si="20"/>
        <v>261.11</v>
      </c>
    </row>
    <row r="1055" spans="2:7" ht="30" hidden="1" outlineLevel="2">
      <c r="B1055" s="330" t="s">
        <v>1316</v>
      </c>
      <c r="C1055" s="121" t="s">
        <v>275</v>
      </c>
      <c r="D1055" s="332" t="s">
        <v>57</v>
      </c>
      <c r="E1055" s="332">
        <v>9.5399999999999991</v>
      </c>
      <c r="F1055" s="325">
        <v>27.37</v>
      </c>
      <c r="G1055" s="436">
        <f t="shared" si="20"/>
        <v>261.11</v>
      </c>
    </row>
    <row r="1056" spans="2:7" hidden="1" outlineLevel="2">
      <c r="B1056" s="330" t="s">
        <v>1317</v>
      </c>
      <c r="C1056" s="121" t="s">
        <v>277</v>
      </c>
      <c r="D1056" s="332" t="s">
        <v>64</v>
      </c>
      <c r="E1056" s="332">
        <v>20</v>
      </c>
      <c r="F1056" s="325">
        <v>17.440000000000001</v>
      </c>
      <c r="G1056" s="436">
        <f t="shared" si="20"/>
        <v>348.8</v>
      </c>
    </row>
    <row r="1057" spans="2:7" hidden="1" outlineLevel="2">
      <c r="B1057" s="330" t="s">
        <v>1318</v>
      </c>
      <c r="C1057" s="121" t="s">
        <v>279</v>
      </c>
      <c r="D1057" s="332" t="s">
        <v>57</v>
      </c>
      <c r="E1057" s="332">
        <v>398.46</v>
      </c>
      <c r="F1057" s="325">
        <v>4.2699999999999996</v>
      </c>
      <c r="G1057" s="436">
        <f t="shared" si="20"/>
        <v>1701.42</v>
      </c>
    </row>
    <row r="1058" spans="2:7" hidden="1" outlineLevel="2">
      <c r="B1058" s="331" t="s">
        <v>1319</v>
      </c>
      <c r="C1058" s="324" t="s">
        <v>158</v>
      </c>
      <c r="D1058" s="332"/>
      <c r="E1058" s="332"/>
      <c r="F1058" s="325"/>
      <c r="G1058" s="435">
        <f>+SUBTOTAL(9,G1059:G1060)</f>
        <v>3071.29</v>
      </c>
    </row>
    <row r="1059" spans="2:7" hidden="1" outlineLevel="2">
      <c r="B1059" s="330" t="s">
        <v>1320</v>
      </c>
      <c r="C1059" s="121" t="s">
        <v>1107</v>
      </c>
      <c r="D1059" s="332" t="s">
        <v>57</v>
      </c>
      <c r="E1059" s="332">
        <v>42.6</v>
      </c>
      <c r="F1059" s="325">
        <v>25.81</v>
      </c>
      <c r="G1059" s="436">
        <f>ROUND(E1059*F1059,2)</f>
        <v>1099.51</v>
      </c>
    </row>
    <row r="1060" spans="2:7" hidden="1" outlineLevel="2">
      <c r="B1060" s="330" t="s">
        <v>1321</v>
      </c>
      <c r="C1060" s="121" t="s">
        <v>160</v>
      </c>
      <c r="D1060" s="332" t="s">
        <v>57</v>
      </c>
      <c r="E1060" s="332">
        <v>29.5</v>
      </c>
      <c r="F1060" s="325">
        <v>66.84</v>
      </c>
      <c r="G1060" s="436">
        <f>ROUND(E1060*F1060,2)</f>
        <v>1971.78</v>
      </c>
    </row>
    <row r="1061" spans="2:7" hidden="1" outlineLevel="2">
      <c r="B1061" s="331" t="s">
        <v>1322</v>
      </c>
      <c r="C1061" s="324" t="s">
        <v>162</v>
      </c>
      <c r="D1061" s="332"/>
      <c r="E1061" s="332"/>
      <c r="F1061" s="325"/>
      <c r="G1061" s="435">
        <f>+SUBTOTAL(9,G1062:G1063)</f>
        <v>6198.33</v>
      </c>
    </row>
    <row r="1062" spans="2:7" hidden="1" outlineLevel="2">
      <c r="B1062" s="330" t="s">
        <v>1323</v>
      </c>
      <c r="C1062" s="121" t="s">
        <v>286</v>
      </c>
      <c r="D1062" s="332" t="s">
        <v>287</v>
      </c>
      <c r="E1062" s="332">
        <v>1</v>
      </c>
      <c r="F1062" s="325">
        <v>3753</v>
      </c>
      <c r="G1062" s="436">
        <f>ROUND(E1062*F1062,2)</f>
        <v>3753</v>
      </c>
    </row>
    <row r="1063" spans="2:7" hidden="1" outlineLevel="2">
      <c r="B1063" s="330" t="s">
        <v>1324</v>
      </c>
      <c r="C1063" s="121" t="s">
        <v>289</v>
      </c>
      <c r="D1063" s="332" t="s">
        <v>287</v>
      </c>
      <c r="E1063" s="332">
        <v>3</v>
      </c>
      <c r="F1063" s="325">
        <v>815.11</v>
      </c>
      <c r="G1063" s="436">
        <f>ROUND(E1063*F1063,2)</f>
        <v>2445.33</v>
      </c>
    </row>
    <row r="1064" spans="2:7" hidden="1" outlineLevel="2">
      <c r="B1064" s="331" t="s">
        <v>1325</v>
      </c>
      <c r="C1064" s="324" t="s">
        <v>174</v>
      </c>
      <c r="D1064" s="332"/>
      <c r="E1064" s="332"/>
      <c r="F1064" s="325"/>
      <c r="G1064" s="435">
        <f>+SUBTOTAL(9,G1065:G1067)</f>
        <v>2704.57</v>
      </c>
    </row>
    <row r="1065" spans="2:7" hidden="1" outlineLevel="2">
      <c r="B1065" s="330" t="s">
        <v>1326</v>
      </c>
      <c r="C1065" s="121" t="s">
        <v>294</v>
      </c>
      <c r="D1065" s="332" t="s">
        <v>57</v>
      </c>
      <c r="E1065" s="332">
        <v>81.430000000000007</v>
      </c>
      <c r="F1065" s="325">
        <v>9.8000000000000007</v>
      </c>
      <c r="G1065" s="436">
        <f>ROUND(E1065*F1065,2)</f>
        <v>798.01</v>
      </c>
    </row>
    <row r="1066" spans="2:7" hidden="1" outlineLevel="2">
      <c r="B1066" s="330" t="s">
        <v>1327</v>
      </c>
      <c r="C1066" s="121" t="s">
        <v>296</v>
      </c>
      <c r="D1066" s="332" t="s">
        <v>57</v>
      </c>
      <c r="E1066" s="332">
        <v>88.17</v>
      </c>
      <c r="F1066" s="325">
        <v>10.32</v>
      </c>
      <c r="G1066" s="436">
        <f>ROUND(E1066*F1066,2)</f>
        <v>909.91</v>
      </c>
    </row>
    <row r="1067" spans="2:7" hidden="1" outlineLevel="2">
      <c r="B1067" s="330" t="s">
        <v>1328</v>
      </c>
      <c r="C1067" s="121" t="s">
        <v>298</v>
      </c>
      <c r="D1067" s="332" t="s">
        <v>57</v>
      </c>
      <c r="E1067" s="332">
        <v>81.760000000000005</v>
      </c>
      <c r="F1067" s="325">
        <v>12.19</v>
      </c>
      <c r="G1067" s="436">
        <f>ROUND(E1067*F1067,2)</f>
        <v>996.65</v>
      </c>
    </row>
    <row r="1068" spans="2:7" hidden="1" outlineLevel="2">
      <c r="B1068" s="331" t="s">
        <v>1329</v>
      </c>
      <c r="C1068" s="324" t="s">
        <v>178</v>
      </c>
      <c r="D1068" s="332"/>
      <c r="E1068" s="332"/>
      <c r="F1068" s="325"/>
      <c r="G1068" s="435">
        <f>+SUBTOTAL(9,G1069)</f>
        <v>401.1</v>
      </c>
    </row>
    <row r="1069" spans="2:7" hidden="1" outlineLevel="2">
      <c r="B1069" s="330" t="s">
        <v>1330</v>
      </c>
      <c r="C1069" s="121" t="s">
        <v>183</v>
      </c>
      <c r="D1069" s="332" t="s">
        <v>43</v>
      </c>
      <c r="E1069" s="332">
        <v>14</v>
      </c>
      <c r="F1069" s="325">
        <v>28.65</v>
      </c>
      <c r="G1069" s="436">
        <f>ROUND(E1069*F1069,2)</f>
        <v>401.1</v>
      </c>
    </row>
    <row r="1070" spans="2:7" hidden="1" outlineLevel="2">
      <c r="B1070" s="331" t="s">
        <v>1331</v>
      </c>
      <c r="C1070" s="324" t="s">
        <v>185</v>
      </c>
      <c r="D1070" s="332"/>
      <c r="E1070" s="332"/>
      <c r="F1070" s="325"/>
      <c r="G1070" s="435">
        <f>+SUBTOTAL(9,G1071:G1072)</f>
        <v>2999.8599999999997</v>
      </c>
    </row>
    <row r="1071" spans="2:7" ht="30" hidden="1" outlineLevel="2">
      <c r="B1071" s="330" t="s">
        <v>1330</v>
      </c>
      <c r="C1071" s="121" t="s">
        <v>189</v>
      </c>
      <c r="D1071" s="332" t="s">
        <v>64</v>
      </c>
      <c r="E1071" s="332">
        <v>6</v>
      </c>
      <c r="F1071" s="325">
        <v>5.27</v>
      </c>
      <c r="G1071" s="436">
        <f>ROUND(E1071*F1071,2)</f>
        <v>31.62</v>
      </c>
    </row>
    <row r="1072" spans="2:7" hidden="1" outlineLevel="2">
      <c r="B1072" s="330" t="s">
        <v>1332</v>
      </c>
      <c r="C1072" s="121" t="s">
        <v>193</v>
      </c>
      <c r="D1072" s="332" t="s">
        <v>57</v>
      </c>
      <c r="E1072" s="332">
        <v>289.02</v>
      </c>
      <c r="F1072" s="325">
        <v>10.27</v>
      </c>
      <c r="G1072" s="436">
        <f>ROUND(E1072*F1072,2)</f>
        <v>2968.24</v>
      </c>
    </row>
    <row r="1073" spans="2:7" hidden="1" outlineLevel="1" collapsed="1">
      <c r="B1073" s="331" t="s">
        <v>1333</v>
      </c>
      <c r="C1073" s="324" t="s">
        <v>451</v>
      </c>
      <c r="D1073" s="332"/>
      <c r="E1073" s="332"/>
      <c r="F1073" s="325"/>
      <c r="G1073" s="435">
        <f>+SUBTOTAL(9,G1074:G1104)</f>
        <v>5269.01</v>
      </c>
    </row>
    <row r="1074" spans="2:7" hidden="1" outlineLevel="2">
      <c r="B1074" s="331" t="s">
        <v>1334</v>
      </c>
      <c r="C1074" s="324" t="s">
        <v>54</v>
      </c>
      <c r="D1074" s="332"/>
      <c r="E1074" s="332"/>
      <c r="F1074" s="325"/>
      <c r="G1074" s="435">
        <f>+SUBTOTAL(9,G1075:G1076)</f>
        <v>154.22</v>
      </c>
    </row>
    <row r="1075" spans="2:7" hidden="1" outlineLevel="2">
      <c r="B1075" s="330" t="s">
        <v>1335</v>
      </c>
      <c r="C1075" s="121" t="s">
        <v>56</v>
      </c>
      <c r="D1075" s="332" t="s">
        <v>57</v>
      </c>
      <c r="E1075" s="332">
        <v>1.1599999999999999</v>
      </c>
      <c r="F1075" s="325">
        <v>68.64</v>
      </c>
      <c r="G1075" s="436">
        <f>ROUND(E1075*F1075,2)</f>
        <v>79.62</v>
      </c>
    </row>
    <row r="1076" spans="2:7" hidden="1" outlineLevel="2">
      <c r="B1076" s="330" t="s">
        <v>1336</v>
      </c>
      <c r="C1076" s="121" t="s">
        <v>199</v>
      </c>
      <c r="D1076" s="332" t="s">
        <v>57</v>
      </c>
      <c r="E1076" s="332">
        <v>1.1599999999999999</v>
      </c>
      <c r="F1076" s="325">
        <v>64.31</v>
      </c>
      <c r="G1076" s="436">
        <f>ROUND(E1076*F1076,2)</f>
        <v>74.599999999999994</v>
      </c>
    </row>
    <row r="1077" spans="2:7" hidden="1" outlineLevel="2">
      <c r="B1077" s="331" t="s">
        <v>1337</v>
      </c>
      <c r="C1077" s="324" t="s">
        <v>66</v>
      </c>
      <c r="D1077" s="332"/>
      <c r="E1077" s="332"/>
      <c r="F1077" s="325"/>
      <c r="G1077" s="435">
        <f>+SUBTOTAL(9,G1078:G1080)</f>
        <v>895.14</v>
      </c>
    </row>
    <row r="1078" spans="2:7" hidden="1" outlineLevel="2">
      <c r="B1078" s="330" t="s">
        <v>1338</v>
      </c>
      <c r="C1078" s="121" t="s">
        <v>457</v>
      </c>
      <c r="D1078" s="332" t="s">
        <v>69</v>
      </c>
      <c r="E1078" s="332">
        <v>2.61</v>
      </c>
      <c r="F1078" s="325">
        <v>323.01</v>
      </c>
      <c r="G1078" s="436">
        <f>ROUND(E1078*F1078,2)</f>
        <v>843.06</v>
      </c>
    </row>
    <row r="1079" spans="2:7" hidden="1" outlineLevel="2">
      <c r="B1079" s="330" t="s">
        <v>1339</v>
      </c>
      <c r="C1079" s="121" t="s">
        <v>73</v>
      </c>
      <c r="D1079" s="332" t="s">
        <v>57</v>
      </c>
      <c r="E1079" s="332">
        <v>1.1599999999999999</v>
      </c>
      <c r="F1079" s="325">
        <v>14.12</v>
      </c>
      <c r="G1079" s="436">
        <f>ROUND(E1079*F1079,2)</f>
        <v>16.38</v>
      </c>
    </row>
    <row r="1080" spans="2:7" hidden="1" outlineLevel="2">
      <c r="B1080" s="330" t="s">
        <v>1340</v>
      </c>
      <c r="C1080" s="121" t="s">
        <v>77</v>
      </c>
      <c r="D1080" s="332" t="s">
        <v>69</v>
      </c>
      <c r="E1080" s="332">
        <v>2.61</v>
      </c>
      <c r="F1080" s="325">
        <v>13.68</v>
      </c>
      <c r="G1080" s="436">
        <f>ROUND(E1080*F1080,2)</f>
        <v>35.700000000000003</v>
      </c>
    </row>
    <row r="1081" spans="2:7" hidden="1" outlineLevel="2">
      <c r="B1081" s="331" t="s">
        <v>1341</v>
      </c>
      <c r="C1081" s="324" t="s">
        <v>79</v>
      </c>
      <c r="D1081" s="332"/>
      <c r="E1081" s="332"/>
      <c r="F1081" s="325"/>
      <c r="G1081" s="435">
        <f>+SUBTOTAL(9,G1082)</f>
        <v>47.83</v>
      </c>
    </row>
    <row r="1082" spans="2:7" hidden="1" outlineLevel="2">
      <c r="B1082" s="330" t="s">
        <v>1342</v>
      </c>
      <c r="C1082" s="121" t="s">
        <v>81</v>
      </c>
      <c r="D1082" s="332" t="s">
        <v>69</v>
      </c>
      <c r="E1082" s="332">
        <v>0.12</v>
      </c>
      <c r="F1082" s="325">
        <v>398.62</v>
      </c>
      <c r="G1082" s="436">
        <f>ROUND(E1082*F1082,2)</f>
        <v>47.83</v>
      </c>
    </row>
    <row r="1083" spans="2:7" hidden="1" outlineLevel="2">
      <c r="B1083" s="331" t="s">
        <v>1343</v>
      </c>
      <c r="C1083" s="324" t="s">
        <v>85</v>
      </c>
      <c r="D1083" s="332"/>
      <c r="E1083" s="332"/>
      <c r="F1083" s="325"/>
      <c r="G1083" s="435">
        <f>+SUBTOTAL(9,G1084:G1094)</f>
        <v>2268.06</v>
      </c>
    </row>
    <row r="1084" spans="2:7" hidden="1" outlineLevel="2">
      <c r="B1084" s="331" t="s">
        <v>1344</v>
      </c>
      <c r="C1084" s="324" t="s">
        <v>96</v>
      </c>
      <c r="D1084" s="332"/>
      <c r="E1084" s="332"/>
      <c r="F1084" s="325"/>
      <c r="G1084" s="435">
        <f>+SUBTOTAL(9,G1085:G1086)</f>
        <v>194.94</v>
      </c>
    </row>
    <row r="1085" spans="2:7" hidden="1" outlineLevel="2">
      <c r="B1085" s="330" t="s">
        <v>1345</v>
      </c>
      <c r="C1085" s="121" t="s">
        <v>465</v>
      </c>
      <c r="D1085" s="332" t="s">
        <v>69</v>
      </c>
      <c r="E1085" s="332">
        <v>0.17</v>
      </c>
      <c r="F1085" s="325">
        <v>563.16999999999996</v>
      </c>
      <c r="G1085" s="436">
        <f>ROUND(E1085*F1085,2)</f>
        <v>95.74</v>
      </c>
    </row>
    <row r="1086" spans="2:7" hidden="1" outlineLevel="2">
      <c r="B1086" s="330" t="s">
        <v>1346</v>
      </c>
      <c r="C1086" s="121" t="s">
        <v>100</v>
      </c>
      <c r="D1086" s="332" t="s">
        <v>94</v>
      </c>
      <c r="E1086" s="332">
        <v>13.46</v>
      </c>
      <c r="F1086" s="325">
        <v>7.37</v>
      </c>
      <c r="G1086" s="436">
        <f>ROUND(E1086*F1086,2)</f>
        <v>99.2</v>
      </c>
    </row>
    <row r="1087" spans="2:7" hidden="1" outlineLevel="2">
      <c r="B1087" s="331" t="s">
        <v>1347</v>
      </c>
      <c r="C1087" s="324" t="s">
        <v>235</v>
      </c>
      <c r="D1087" s="332"/>
      <c r="E1087" s="332"/>
      <c r="F1087" s="325"/>
      <c r="G1087" s="435">
        <f>+SUBTOTAL(9,G1088:G1090)</f>
        <v>1981.29</v>
      </c>
    </row>
    <row r="1088" spans="2:7" hidden="1" outlineLevel="2">
      <c r="B1088" s="330" t="s">
        <v>1348</v>
      </c>
      <c r="C1088" s="121" t="s">
        <v>469</v>
      </c>
      <c r="D1088" s="332" t="s">
        <v>69</v>
      </c>
      <c r="E1088" s="332">
        <v>1.3</v>
      </c>
      <c r="F1088" s="325">
        <v>618.65</v>
      </c>
      <c r="G1088" s="436">
        <f>ROUND(E1088*F1088,2)</f>
        <v>804.25</v>
      </c>
    </row>
    <row r="1089" spans="2:7" hidden="1" outlineLevel="2">
      <c r="B1089" s="330" t="s">
        <v>1349</v>
      </c>
      <c r="C1089" s="121" t="s">
        <v>106</v>
      </c>
      <c r="D1089" s="332" t="s">
        <v>57</v>
      </c>
      <c r="E1089" s="332">
        <v>7.78</v>
      </c>
      <c r="F1089" s="325">
        <v>64.8</v>
      </c>
      <c r="G1089" s="436">
        <f>ROUND(E1089*F1089,2)</f>
        <v>504.14</v>
      </c>
    </row>
    <row r="1090" spans="2:7" hidden="1" outlineLevel="2">
      <c r="B1090" s="330" t="s">
        <v>1350</v>
      </c>
      <c r="C1090" s="121" t="s">
        <v>108</v>
      </c>
      <c r="D1090" s="332" t="s">
        <v>94</v>
      </c>
      <c r="E1090" s="332">
        <v>89.6</v>
      </c>
      <c r="F1090" s="325">
        <v>7.51</v>
      </c>
      <c r="G1090" s="436">
        <f>ROUND(E1090*F1090,2)</f>
        <v>672.9</v>
      </c>
    </row>
    <row r="1091" spans="2:7" hidden="1" outlineLevel="2">
      <c r="B1091" s="331" t="s">
        <v>1351</v>
      </c>
      <c r="C1091" s="324" t="s">
        <v>473</v>
      </c>
      <c r="D1091" s="332"/>
      <c r="E1091" s="332"/>
      <c r="F1091" s="325"/>
      <c r="G1091" s="435">
        <f>+SUBTOTAL(9,G1092:G1094)</f>
        <v>91.83</v>
      </c>
    </row>
    <row r="1092" spans="2:7" hidden="1" outlineLevel="2">
      <c r="B1092" s="330" t="s">
        <v>1352</v>
      </c>
      <c r="C1092" s="121" t="s">
        <v>475</v>
      </c>
      <c r="D1092" s="332" t="s">
        <v>69</v>
      </c>
      <c r="E1092" s="332">
        <v>0.04</v>
      </c>
      <c r="F1092" s="325">
        <v>541.16</v>
      </c>
      <c r="G1092" s="436">
        <f>ROUND(E1092*F1092,2)</f>
        <v>21.65</v>
      </c>
    </row>
    <row r="1093" spans="2:7" hidden="1" outlineLevel="2">
      <c r="B1093" s="330" t="s">
        <v>1353</v>
      </c>
      <c r="C1093" s="121" t="s">
        <v>477</v>
      </c>
      <c r="D1093" s="332" t="s">
        <v>57</v>
      </c>
      <c r="E1093" s="332">
        <v>0.96</v>
      </c>
      <c r="F1093" s="325">
        <v>35.4</v>
      </c>
      <c r="G1093" s="436">
        <f>ROUND(E1093*F1093,2)</f>
        <v>33.979999999999997</v>
      </c>
    </row>
    <row r="1094" spans="2:7" hidden="1" outlineLevel="2">
      <c r="B1094" s="330" t="s">
        <v>1354</v>
      </c>
      <c r="C1094" s="121" t="s">
        <v>479</v>
      </c>
      <c r="D1094" s="332" t="s">
        <v>94</v>
      </c>
      <c r="E1094" s="332">
        <v>4.84</v>
      </c>
      <c r="F1094" s="325">
        <v>7.48</v>
      </c>
      <c r="G1094" s="436">
        <f>ROUND(E1094*F1094,2)</f>
        <v>36.200000000000003</v>
      </c>
    </row>
    <row r="1095" spans="2:7" hidden="1" outlineLevel="2">
      <c r="B1095" s="331" t="s">
        <v>1355</v>
      </c>
      <c r="C1095" s="324" t="s">
        <v>134</v>
      </c>
      <c r="D1095" s="332"/>
      <c r="E1095" s="332"/>
      <c r="F1095" s="325"/>
      <c r="G1095" s="435">
        <f>+SUBTOTAL(9,G1096:G1099)</f>
        <v>484.89</v>
      </c>
    </row>
    <row r="1096" spans="2:7" ht="30" hidden="1" outlineLevel="2">
      <c r="B1096" s="330" t="s">
        <v>1356</v>
      </c>
      <c r="C1096" s="121" t="s">
        <v>136</v>
      </c>
      <c r="D1096" s="332" t="s">
        <v>57</v>
      </c>
      <c r="E1096" s="332">
        <v>0.57999999999999996</v>
      </c>
      <c r="F1096" s="325">
        <v>28.74</v>
      </c>
      <c r="G1096" s="436">
        <f>ROUND(E1096*F1096,2)</f>
        <v>16.670000000000002</v>
      </c>
    </row>
    <row r="1097" spans="2:7" ht="30" hidden="1" outlineLevel="2">
      <c r="B1097" s="330" t="s">
        <v>1357</v>
      </c>
      <c r="C1097" s="121" t="s">
        <v>138</v>
      </c>
      <c r="D1097" s="332" t="s">
        <v>57</v>
      </c>
      <c r="E1097" s="332">
        <v>0.57999999999999996</v>
      </c>
      <c r="F1097" s="325">
        <v>28.74</v>
      </c>
      <c r="G1097" s="436">
        <f>ROUND(E1097*F1097,2)</f>
        <v>16.670000000000002</v>
      </c>
    </row>
    <row r="1098" spans="2:7" ht="30" hidden="1" outlineLevel="2">
      <c r="B1098" s="330" t="s">
        <v>1358</v>
      </c>
      <c r="C1098" s="121" t="s">
        <v>140</v>
      </c>
      <c r="D1098" s="332" t="s">
        <v>57</v>
      </c>
      <c r="E1098" s="332">
        <v>7.78</v>
      </c>
      <c r="F1098" s="325">
        <v>28.74</v>
      </c>
      <c r="G1098" s="436">
        <f>ROUND(E1098*F1098,2)</f>
        <v>223.6</v>
      </c>
    </row>
    <row r="1099" spans="2:7" ht="30" hidden="1" outlineLevel="2">
      <c r="B1099" s="330" t="s">
        <v>1359</v>
      </c>
      <c r="C1099" s="121" t="s">
        <v>142</v>
      </c>
      <c r="D1099" s="332" t="s">
        <v>57</v>
      </c>
      <c r="E1099" s="332">
        <v>7.78</v>
      </c>
      <c r="F1099" s="325">
        <v>29.3</v>
      </c>
      <c r="G1099" s="436">
        <f>ROUND(E1099*F1099,2)</f>
        <v>227.95</v>
      </c>
    </row>
    <row r="1100" spans="2:7" hidden="1" outlineLevel="2">
      <c r="B1100" s="331" t="s">
        <v>1360</v>
      </c>
      <c r="C1100" s="324" t="s">
        <v>185</v>
      </c>
      <c r="D1100" s="332"/>
      <c r="E1100" s="332"/>
      <c r="F1100" s="325"/>
      <c r="G1100" s="435">
        <f>+SUBTOTAL(9,G1101:G1104)</f>
        <v>1418.8700000000001</v>
      </c>
    </row>
    <row r="1101" spans="2:7" hidden="1" outlineLevel="2">
      <c r="B1101" s="330" t="s">
        <v>1361</v>
      </c>
      <c r="C1101" s="121" t="s">
        <v>487</v>
      </c>
      <c r="D1101" s="332" t="s">
        <v>43</v>
      </c>
      <c r="E1101" s="332">
        <v>1</v>
      </c>
      <c r="F1101" s="325">
        <v>1249.6600000000001</v>
      </c>
      <c r="G1101" s="436">
        <f>ROUND(E1101*F1101,2)</f>
        <v>1249.6600000000001</v>
      </c>
    </row>
    <row r="1102" spans="2:7" hidden="1" outlineLevel="2">
      <c r="B1102" s="330" t="s">
        <v>1362</v>
      </c>
      <c r="C1102" s="121" t="s">
        <v>1363</v>
      </c>
      <c r="D1102" s="332" t="s">
        <v>43</v>
      </c>
      <c r="E1102" s="332">
        <v>4</v>
      </c>
      <c r="F1102" s="325">
        <v>12.7</v>
      </c>
      <c r="G1102" s="436">
        <f>ROUND(E1102*F1102,2)</f>
        <v>50.8</v>
      </c>
    </row>
    <row r="1103" spans="2:7" hidden="1" outlineLevel="2">
      <c r="B1103" s="330" t="s">
        <v>1364</v>
      </c>
      <c r="C1103" s="121" t="s">
        <v>183</v>
      </c>
      <c r="D1103" s="332" t="s">
        <v>43</v>
      </c>
      <c r="E1103" s="332">
        <v>1</v>
      </c>
      <c r="F1103" s="325">
        <v>28.65</v>
      </c>
      <c r="G1103" s="436">
        <f>ROUND(E1103*F1103,2)</f>
        <v>28.65</v>
      </c>
    </row>
    <row r="1104" spans="2:7" hidden="1" outlineLevel="2">
      <c r="B1104" s="330" t="s">
        <v>1365</v>
      </c>
      <c r="C1104" s="121" t="s">
        <v>193</v>
      </c>
      <c r="D1104" s="332" t="s">
        <v>57</v>
      </c>
      <c r="E1104" s="332">
        <v>8.74</v>
      </c>
      <c r="F1104" s="325">
        <v>10.27</v>
      </c>
      <c r="G1104" s="436">
        <f>ROUND(E1104*F1104,2)</f>
        <v>89.76</v>
      </c>
    </row>
    <row r="1105" spans="2:7" hidden="1" outlineLevel="1" collapsed="1">
      <c r="B1105" s="331" t="s">
        <v>1366</v>
      </c>
      <c r="C1105" s="324" t="s">
        <v>1120</v>
      </c>
      <c r="D1105" s="332"/>
      <c r="E1105" s="332"/>
      <c r="F1105" s="325"/>
      <c r="G1105" s="435">
        <f>+SUBTOTAL(9,G1106:G1155)</f>
        <v>74595.37000000001</v>
      </c>
    </row>
    <row r="1106" spans="2:7" hidden="1" outlineLevel="2">
      <c r="B1106" s="331" t="s">
        <v>1367</v>
      </c>
      <c r="C1106" s="324" t="s">
        <v>54</v>
      </c>
      <c r="D1106" s="332"/>
      <c r="E1106" s="332"/>
      <c r="F1106" s="325"/>
      <c r="G1106" s="435">
        <f>+SUBTOTAL(9,G1107:G1108)</f>
        <v>6946.6399999999994</v>
      </c>
    </row>
    <row r="1107" spans="2:7" hidden="1" outlineLevel="2">
      <c r="B1107" s="330" t="s">
        <v>1368</v>
      </c>
      <c r="C1107" s="121" t="s">
        <v>56</v>
      </c>
      <c r="D1107" s="332" t="s">
        <v>57</v>
      </c>
      <c r="E1107" s="332">
        <v>52.25</v>
      </c>
      <c r="F1107" s="325">
        <v>68.64</v>
      </c>
      <c r="G1107" s="436">
        <f>ROUND(E1107*F1107,2)</f>
        <v>3586.44</v>
      </c>
    </row>
    <row r="1108" spans="2:7" hidden="1" outlineLevel="2">
      <c r="B1108" s="330" t="s">
        <v>1369</v>
      </c>
      <c r="C1108" s="121" t="s">
        <v>199</v>
      </c>
      <c r="D1108" s="332" t="s">
        <v>57</v>
      </c>
      <c r="E1108" s="332">
        <v>52.25</v>
      </c>
      <c r="F1108" s="325">
        <v>64.31</v>
      </c>
      <c r="G1108" s="436">
        <f>ROUND(E1108*F1108,2)</f>
        <v>3360.2</v>
      </c>
    </row>
    <row r="1109" spans="2:7" hidden="1" outlineLevel="2">
      <c r="B1109" s="331" t="s">
        <v>1370</v>
      </c>
      <c r="C1109" s="324" t="s">
        <v>66</v>
      </c>
      <c r="D1109" s="332"/>
      <c r="E1109" s="332"/>
      <c r="F1109" s="325"/>
      <c r="G1109" s="435">
        <f>+SUBTOTAL(9,G1110:G1113)</f>
        <v>7067.77</v>
      </c>
    </row>
    <row r="1110" spans="2:7" hidden="1" outlineLevel="2">
      <c r="B1110" s="330" t="s">
        <v>1371</v>
      </c>
      <c r="C1110" s="121" t="s">
        <v>311</v>
      </c>
      <c r="D1110" s="332" t="s">
        <v>69</v>
      </c>
      <c r="E1110" s="332">
        <v>21.54</v>
      </c>
      <c r="F1110" s="325">
        <v>264.68</v>
      </c>
      <c r="G1110" s="436">
        <f>ROUND(E1110*F1110,2)</f>
        <v>5701.21</v>
      </c>
    </row>
    <row r="1111" spans="2:7" hidden="1" outlineLevel="2">
      <c r="B1111" s="330" t="s">
        <v>1372</v>
      </c>
      <c r="C1111" s="121" t="s">
        <v>73</v>
      </c>
      <c r="D1111" s="332" t="s">
        <v>57</v>
      </c>
      <c r="E1111" s="332">
        <v>19.29</v>
      </c>
      <c r="F1111" s="325">
        <v>14.12</v>
      </c>
      <c r="G1111" s="436">
        <f>ROUND(E1111*F1111,2)</f>
        <v>272.37</v>
      </c>
    </row>
    <row r="1112" spans="2:7" hidden="1" outlineLevel="2">
      <c r="B1112" s="330" t="s">
        <v>1373</v>
      </c>
      <c r="C1112" s="121" t="s">
        <v>75</v>
      </c>
      <c r="D1112" s="332" t="s">
        <v>69</v>
      </c>
      <c r="E1112" s="332">
        <v>8.2799999999999994</v>
      </c>
      <c r="F1112" s="325">
        <v>96.56</v>
      </c>
      <c r="G1112" s="436">
        <f>ROUND(E1112*F1112,2)</f>
        <v>799.52</v>
      </c>
    </row>
    <row r="1113" spans="2:7" hidden="1" outlineLevel="2">
      <c r="B1113" s="330" t="s">
        <v>1374</v>
      </c>
      <c r="C1113" s="121" t="s">
        <v>77</v>
      </c>
      <c r="D1113" s="332" t="s">
        <v>69</v>
      </c>
      <c r="E1113" s="332">
        <v>21.54</v>
      </c>
      <c r="F1113" s="325">
        <v>13.68</v>
      </c>
      <c r="G1113" s="436">
        <f>ROUND(E1113*F1113,2)</f>
        <v>294.67</v>
      </c>
    </row>
    <row r="1114" spans="2:7" hidden="1" outlineLevel="2">
      <c r="B1114" s="331" t="s">
        <v>1375</v>
      </c>
      <c r="C1114" s="324" t="s">
        <v>79</v>
      </c>
      <c r="D1114" s="332"/>
      <c r="E1114" s="332"/>
      <c r="F1114" s="325"/>
      <c r="G1114" s="435">
        <f>+SUBTOTAL(9,G1115:G1118)</f>
        <v>3891.9700000000003</v>
      </c>
    </row>
    <row r="1115" spans="2:7" hidden="1" outlineLevel="2">
      <c r="B1115" s="330" t="s">
        <v>1376</v>
      </c>
      <c r="C1115" s="121" t="s">
        <v>81</v>
      </c>
      <c r="D1115" s="332" t="s">
        <v>69</v>
      </c>
      <c r="E1115" s="332">
        <v>1.1100000000000001</v>
      </c>
      <c r="F1115" s="325">
        <v>398.62</v>
      </c>
      <c r="G1115" s="436">
        <f>ROUND(E1115*F1115,2)</f>
        <v>442.47</v>
      </c>
    </row>
    <row r="1116" spans="2:7" hidden="1" outlineLevel="2">
      <c r="B1116" s="330" t="s">
        <v>1377</v>
      </c>
      <c r="C1116" s="121" t="s">
        <v>318</v>
      </c>
      <c r="D1116" s="332" t="s">
        <v>69</v>
      </c>
      <c r="E1116" s="332">
        <v>5.72</v>
      </c>
      <c r="F1116" s="325">
        <v>353.53</v>
      </c>
      <c r="G1116" s="436">
        <f>ROUND(E1116*F1116,2)</f>
        <v>2022.19</v>
      </c>
    </row>
    <row r="1117" spans="2:7" hidden="1" outlineLevel="2">
      <c r="B1117" s="330" t="s">
        <v>1378</v>
      </c>
      <c r="C1117" s="121" t="s">
        <v>320</v>
      </c>
      <c r="D1117" s="332" t="s">
        <v>69</v>
      </c>
      <c r="E1117" s="332">
        <v>1.35</v>
      </c>
      <c r="F1117" s="325">
        <v>415.41</v>
      </c>
      <c r="G1117" s="436">
        <f>ROUND(E1117*F1117,2)</f>
        <v>560.79999999999995</v>
      </c>
    </row>
    <row r="1118" spans="2:7" hidden="1" outlineLevel="2">
      <c r="B1118" s="330" t="s">
        <v>1379</v>
      </c>
      <c r="C1118" s="121" t="s">
        <v>322</v>
      </c>
      <c r="D1118" s="332" t="s">
        <v>57</v>
      </c>
      <c r="E1118" s="332">
        <v>17.97</v>
      </c>
      <c r="F1118" s="325">
        <v>48.22</v>
      </c>
      <c r="G1118" s="436">
        <f>ROUND(E1118*F1118,2)</f>
        <v>866.51</v>
      </c>
    </row>
    <row r="1119" spans="2:7" hidden="1" outlineLevel="2">
      <c r="B1119" s="331" t="s">
        <v>1380</v>
      </c>
      <c r="C1119" s="324" t="s">
        <v>85</v>
      </c>
      <c r="D1119" s="332"/>
      <c r="E1119" s="332"/>
      <c r="F1119" s="325"/>
      <c r="G1119" s="435">
        <f>+SUBTOTAL(9,G1120:G1134)</f>
        <v>32747.079999999998</v>
      </c>
    </row>
    <row r="1120" spans="2:7" hidden="1" outlineLevel="2">
      <c r="B1120" s="331" t="s">
        <v>1381</v>
      </c>
      <c r="C1120" s="324" t="s">
        <v>974</v>
      </c>
      <c r="D1120" s="332"/>
      <c r="E1120" s="332"/>
      <c r="F1120" s="325"/>
      <c r="G1120" s="435">
        <f>+SUBTOTAL(9,G1121:G1122)</f>
        <v>3819.58</v>
      </c>
    </row>
    <row r="1121" spans="2:7" hidden="1" outlineLevel="2">
      <c r="B1121" s="330" t="s">
        <v>1382</v>
      </c>
      <c r="C1121" s="121" t="s">
        <v>1080</v>
      </c>
      <c r="D1121" s="332" t="s">
        <v>69</v>
      </c>
      <c r="E1121" s="332">
        <v>5.56</v>
      </c>
      <c r="F1121" s="325">
        <v>485.32</v>
      </c>
      <c r="G1121" s="436">
        <f>ROUND(E1121*F1121,2)</f>
        <v>2698.38</v>
      </c>
    </row>
    <row r="1122" spans="2:7" hidden="1" outlineLevel="2">
      <c r="B1122" s="330" t="s">
        <v>1383</v>
      </c>
      <c r="C1122" s="121" t="s">
        <v>93</v>
      </c>
      <c r="D1122" s="332" t="s">
        <v>94</v>
      </c>
      <c r="E1122" s="332">
        <v>152.13</v>
      </c>
      <c r="F1122" s="325">
        <v>7.37</v>
      </c>
      <c r="G1122" s="436">
        <f>ROUND(E1122*F1122,2)</f>
        <v>1121.2</v>
      </c>
    </row>
    <row r="1123" spans="2:7" hidden="1" outlineLevel="2">
      <c r="B1123" s="331" t="s">
        <v>1384</v>
      </c>
      <c r="C1123" s="324" t="s">
        <v>227</v>
      </c>
      <c r="D1123" s="332"/>
      <c r="E1123" s="332"/>
      <c r="F1123" s="325"/>
      <c r="G1123" s="435">
        <f>+SUBTOTAL(9,G1124:G1126)</f>
        <v>8936.14</v>
      </c>
    </row>
    <row r="1124" spans="2:7" hidden="1" outlineLevel="2">
      <c r="B1124" s="330" t="s">
        <v>1385</v>
      </c>
      <c r="C1124" s="121" t="s">
        <v>1084</v>
      </c>
      <c r="D1124" s="332" t="s">
        <v>69</v>
      </c>
      <c r="E1124" s="332">
        <v>2.84</v>
      </c>
      <c r="F1124" s="325">
        <v>618.65</v>
      </c>
      <c r="G1124" s="436">
        <f>ROUND(E1124*F1124,2)</f>
        <v>1756.97</v>
      </c>
    </row>
    <row r="1125" spans="2:7" hidden="1" outlineLevel="2">
      <c r="B1125" s="330" t="s">
        <v>1386</v>
      </c>
      <c r="C1125" s="121" t="s">
        <v>231</v>
      </c>
      <c r="D1125" s="332" t="s">
        <v>57</v>
      </c>
      <c r="E1125" s="332">
        <v>41.5</v>
      </c>
      <c r="F1125" s="325">
        <v>65.900000000000006</v>
      </c>
      <c r="G1125" s="436">
        <f>ROUND(E1125*F1125,2)</f>
        <v>2734.85</v>
      </c>
    </row>
    <row r="1126" spans="2:7" hidden="1" outlineLevel="2">
      <c r="B1126" s="330" t="s">
        <v>1387</v>
      </c>
      <c r="C1126" s="121" t="s">
        <v>233</v>
      </c>
      <c r="D1126" s="332" t="s">
        <v>94</v>
      </c>
      <c r="E1126" s="332">
        <v>594.16</v>
      </c>
      <c r="F1126" s="325">
        <v>7.48</v>
      </c>
      <c r="G1126" s="436">
        <f>ROUND(E1126*F1126,2)</f>
        <v>4444.32</v>
      </c>
    </row>
    <row r="1127" spans="2:7" hidden="1" outlineLevel="2">
      <c r="B1127" s="331" t="s">
        <v>1388</v>
      </c>
      <c r="C1127" s="324" t="s">
        <v>241</v>
      </c>
      <c r="D1127" s="332"/>
      <c r="E1127" s="332"/>
      <c r="F1127" s="325"/>
      <c r="G1127" s="435">
        <f>+SUBTOTAL(9,G1128:G1130)</f>
        <v>8151.7200000000012</v>
      </c>
    </row>
    <row r="1128" spans="2:7" hidden="1" outlineLevel="2">
      <c r="B1128" s="330" t="s">
        <v>1389</v>
      </c>
      <c r="C1128" s="121" t="s">
        <v>1089</v>
      </c>
      <c r="D1128" s="332" t="s">
        <v>69</v>
      </c>
      <c r="E1128" s="332">
        <v>4.12</v>
      </c>
      <c r="F1128" s="325">
        <v>563.16999999999996</v>
      </c>
      <c r="G1128" s="436">
        <f>ROUND(E1128*F1128,2)</f>
        <v>2320.2600000000002</v>
      </c>
    </row>
    <row r="1129" spans="2:7" hidden="1" outlineLevel="2">
      <c r="B1129" s="330" t="s">
        <v>1390</v>
      </c>
      <c r="C1129" s="121" t="s">
        <v>122</v>
      </c>
      <c r="D1129" s="332" t="s">
        <v>57</v>
      </c>
      <c r="E1129" s="332">
        <v>32.549999999999997</v>
      </c>
      <c r="F1129" s="325">
        <v>75.39</v>
      </c>
      <c r="G1129" s="436">
        <f>ROUND(E1129*F1129,2)</f>
        <v>2453.94</v>
      </c>
    </row>
    <row r="1130" spans="2:7" hidden="1" outlineLevel="2">
      <c r="B1130" s="330" t="s">
        <v>1391</v>
      </c>
      <c r="C1130" s="121" t="s">
        <v>336</v>
      </c>
      <c r="D1130" s="332" t="s">
        <v>94</v>
      </c>
      <c r="E1130" s="332">
        <v>451.54</v>
      </c>
      <c r="F1130" s="325">
        <v>7.48</v>
      </c>
      <c r="G1130" s="436">
        <f>ROUND(E1130*F1130,2)</f>
        <v>3377.52</v>
      </c>
    </row>
    <row r="1131" spans="2:7" hidden="1" outlineLevel="2">
      <c r="B1131" s="331" t="s">
        <v>1392</v>
      </c>
      <c r="C1131" s="324" t="s">
        <v>695</v>
      </c>
      <c r="D1131" s="332"/>
      <c r="E1131" s="332"/>
      <c r="F1131" s="325"/>
      <c r="G1131" s="435">
        <f>+SUBTOTAL(9,G1132:G1134)</f>
        <v>11839.64</v>
      </c>
    </row>
    <row r="1132" spans="2:7" hidden="1" outlineLevel="2">
      <c r="B1132" s="330" t="s">
        <v>1393</v>
      </c>
      <c r="C1132" s="121" t="s">
        <v>507</v>
      </c>
      <c r="D1132" s="332" t="s">
        <v>69</v>
      </c>
      <c r="E1132" s="332">
        <v>8.35</v>
      </c>
      <c r="F1132" s="325">
        <v>563.16999999999996</v>
      </c>
      <c r="G1132" s="436">
        <f>ROUND(E1132*F1132,2)</f>
        <v>4702.47</v>
      </c>
    </row>
    <row r="1133" spans="2:7" hidden="1" outlineLevel="2">
      <c r="B1133" s="330" t="s">
        <v>1394</v>
      </c>
      <c r="C1133" s="121" t="s">
        <v>252</v>
      </c>
      <c r="D1133" s="332" t="s">
        <v>57</v>
      </c>
      <c r="E1133" s="332">
        <v>61.35</v>
      </c>
      <c r="F1133" s="325">
        <v>60.67</v>
      </c>
      <c r="G1133" s="436">
        <f>ROUND(E1133*F1133,2)</f>
        <v>3722.1</v>
      </c>
    </row>
    <row r="1134" spans="2:7" hidden="1" outlineLevel="2">
      <c r="B1134" s="330" t="s">
        <v>1395</v>
      </c>
      <c r="C1134" s="121" t="s">
        <v>254</v>
      </c>
      <c r="D1134" s="332" t="s">
        <v>94</v>
      </c>
      <c r="E1134" s="332">
        <v>456.56</v>
      </c>
      <c r="F1134" s="325">
        <v>7.48</v>
      </c>
      <c r="G1134" s="436">
        <f>ROUND(E1134*F1134,2)</f>
        <v>3415.07</v>
      </c>
    </row>
    <row r="1135" spans="2:7" hidden="1" outlineLevel="2">
      <c r="B1135" s="331" t="s">
        <v>1396</v>
      </c>
      <c r="C1135" s="324" t="s">
        <v>134</v>
      </c>
      <c r="D1135" s="332"/>
      <c r="E1135" s="332"/>
      <c r="F1135" s="325"/>
      <c r="G1135" s="435">
        <f>+SUBTOTAL(9,G1136:G1142)</f>
        <v>9098.4700000000012</v>
      </c>
    </row>
    <row r="1136" spans="2:7" ht="30" hidden="1" outlineLevel="2">
      <c r="B1136" s="330" t="s">
        <v>1397</v>
      </c>
      <c r="C1136" s="121" t="s">
        <v>348</v>
      </c>
      <c r="D1136" s="332" t="s">
        <v>57</v>
      </c>
      <c r="E1136" s="332">
        <v>113.98</v>
      </c>
      <c r="F1136" s="325">
        <v>27.37</v>
      </c>
      <c r="G1136" s="436">
        <f t="shared" ref="G1136:G1142" si="21">ROUND(E1136*F1136,2)</f>
        <v>3119.63</v>
      </c>
    </row>
    <row r="1137" spans="2:7" ht="30" hidden="1" outlineLevel="2">
      <c r="B1137" s="330" t="s">
        <v>1398</v>
      </c>
      <c r="C1137" s="121" t="s">
        <v>350</v>
      </c>
      <c r="D1137" s="332" t="s">
        <v>57</v>
      </c>
      <c r="E1137" s="332">
        <v>103.51</v>
      </c>
      <c r="F1137" s="325">
        <v>27.37</v>
      </c>
      <c r="G1137" s="436">
        <f t="shared" si="21"/>
        <v>2833.07</v>
      </c>
    </row>
    <row r="1138" spans="2:7" ht="30" hidden="1" outlineLevel="2">
      <c r="B1138" s="330" t="s">
        <v>1399</v>
      </c>
      <c r="C1138" s="121" t="s">
        <v>352</v>
      </c>
      <c r="D1138" s="332" t="s">
        <v>57</v>
      </c>
      <c r="E1138" s="332">
        <v>31.5</v>
      </c>
      <c r="F1138" s="325">
        <v>27.37</v>
      </c>
      <c r="G1138" s="436">
        <f t="shared" si="21"/>
        <v>862.16</v>
      </c>
    </row>
    <row r="1139" spans="2:7" ht="30" hidden="1" outlineLevel="2">
      <c r="B1139" s="330" t="s">
        <v>1400</v>
      </c>
      <c r="C1139" s="121" t="s">
        <v>354</v>
      </c>
      <c r="D1139" s="332" t="s">
        <v>57</v>
      </c>
      <c r="E1139" s="332">
        <v>5.7</v>
      </c>
      <c r="F1139" s="325">
        <v>27.37</v>
      </c>
      <c r="G1139" s="436">
        <f t="shared" si="21"/>
        <v>156.01</v>
      </c>
    </row>
    <row r="1140" spans="2:7" hidden="1" outlineLevel="2">
      <c r="B1140" s="330" t="s">
        <v>1401</v>
      </c>
      <c r="C1140" s="121" t="s">
        <v>1102</v>
      </c>
      <c r="D1140" s="332" t="s">
        <v>57</v>
      </c>
      <c r="E1140" s="332">
        <v>7.52</v>
      </c>
      <c r="F1140" s="325">
        <v>27.37</v>
      </c>
      <c r="G1140" s="436">
        <f t="shared" si="21"/>
        <v>205.82</v>
      </c>
    </row>
    <row r="1141" spans="2:7" hidden="1" outlineLevel="2">
      <c r="B1141" s="330" t="s">
        <v>1402</v>
      </c>
      <c r="C1141" s="121" t="s">
        <v>277</v>
      </c>
      <c r="D1141" s="332" t="s">
        <v>64</v>
      </c>
      <c r="E1141" s="332">
        <v>61.74</v>
      </c>
      <c r="F1141" s="325">
        <v>17.440000000000001</v>
      </c>
      <c r="G1141" s="436">
        <f t="shared" si="21"/>
        <v>1076.75</v>
      </c>
    </row>
    <row r="1142" spans="2:7" hidden="1" outlineLevel="2">
      <c r="B1142" s="330" t="s">
        <v>1403</v>
      </c>
      <c r="C1142" s="121" t="s">
        <v>156</v>
      </c>
      <c r="D1142" s="332" t="s">
        <v>57</v>
      </c>
      <c r="E1142" s="332">
        <v>197.9</v>
      </c>
      <c r="F1142" s="325">
        <v>4.2699999999999996</v>
      </c>
      <c r="G1142" s="436">
        <f t="shared" si="21"/>
        <v>845.03</v>
      </c>
    </row>
    <row r="1143" spans="2:7" hidden="1" outlineLevel="2">
      <c r="B1143" s="331" t="s">
        <v>1404</v>
      </c>
      <c r="C1143" s="324" t="s">
        <v>158</v>
      </c>
      <c r="D1143" s="332"/>
      <c r="E1143" s="332"/>
      <c r="F1143" s="325"/>
      <c r="G1143" s="435">
        <f>+SUBTOTAL(9,G1144)</f>
        <v>1201.2</v>
      </c>
    </row>
    <row r="1144" spans="2:7" hidden="1" outlineLevel="2">
      <c r="B1144" s="330" t="s">
        <v>1405</v>
      </c>
      <c r="C1144" s="121" t="s">
        <v>1107</v>
      </c>
      <c r="D1144" s="332" t="s">
        <v>57</v>
      </c>
      <c r="E1144" s="332">
        <v>46.54</v>
      </c>
      <c r="F1144" s="325">
        <v>25.81</v>
      </c>
      <c r="G1144" s="436">
        <f>ROUND(E1144*F1144,2)</f>
        <v>1201.2</v>
      </c>
    </row>
    <row r="1145" spans="2:7" hidden="1" outlineLevel="2">
      <c r="B1145" s="331" t="s">
        <v>1406</v>
      </c>
      <c r="C1145" s="324" t="s">
        <v>162</v>
      </c>
      <c r="D1145" s="332"/>
      <c r="E1145" s="332"/>
      <c r="F1145" s="325"/>
      <c r="G1145" s="435">
        <f>+SUBTOTAL(9,G1146:G1147)</f>
        <v>9136.2199999999993</v>
      </c>
    </row>
    <row r="1146" spans="2:7" hidden="1" outlineLevel="2">
      <c r="B1146" s="330" t="s">
        <v>1407</v>
      </c>
      <c r="C1146" s="121" t="s">
        <v>367</v>
      </c>
      <c r="D1146" s="332" t="s">
        <v>287</v>
      </c>
      <c r="E1146" s="332">
        <v>2</v>
      </c>
      <c r="F1146" s="325">
        <v>3753</v>
      </c>
      <c r="G1146" s="436">
        <f>ROUND(E1146*F1146,2)</f>
        <v>7506</v>
      </c>
    </row>
    <row r="1147" spans="2:7" hidden="1" outlineLevel="2">
      <c r="B1147" s="330" t="s">
        <v>1408</v>
      </c>
      <c r="C1147" s="121" t="s">
        <v>289</v>
      </c>
      <c r="D1147" s="332" t="s">
        <v>287</v>
      </c>
      <c r="E1147" s="332">
        <v>2</v>
      </c>
      <c r="F1147" s="325">
        <v>815.11</v>
      </c>
      <c r="G1147" s="436">
        <f>ROUND(E1147*F1147,2)</f>
        <v>1630.22</v>
      </c>
    </row>
    <row r="1148" spans="2:7" hidden="1" outlineLevel="2">
      <c r="B1148" s="331" t="s">
        <v>1409</v>
      </c>
      <c r="C1148" s="324" t="s">
        <v>174</v>
      </c>
      <c r="D1148" s="332"/>
      <c r="E1148" s="332"/>
      <c r="F1148" s="325"/>
      <c r="G1148" s="435">
        <f>+SUBTOTAL(9,G1149:G1151)</f>
        <v>2730.36</v>
      </c>
    </row>
    <row r="1149" spans="2:7" hidden="1" outlineLevel="2">
      <c r="B1149" s="330" t="s">
        <v>1410</v>
      </c>
      <c r="C1149" s="121" t="s">
        <v>294</v>
      </c>
      <c r="D1149" s="332" t="s">
        <v>57</v>
      </c>
      <c r="E1149" s="332">
        <v>113.98</v>
      </c>
      <c r="F1149" s="325">
        <v>9.8000000000000007</v>
      </c>
      <c r="G1149" s="436">
        <f>ROUND(E1149*F1149,2)</f>
        <v>1117</v>
      </c>
    </row>
    <row r="1150" spans="2:7" hidden="1" outlineLevel="2">
      <c r="B1150" s="330" t="s">
        <v>1411</v>
      </c>
      <c r="C1150" s="121" t="s">
        <v>296</v>
      </c>
      <c r="D1150" s="332" t="s">
        <v>57</v>
      </c>
      <c r="E1150" s="332">
        <v>103.51</v>
      </c>
      <c r="F1150" s="325">
        <v>10.32</v>
      </c>
      <c r="G1150" s="436">
        <f>ROUND(E1150*F1150,2)</f>
        <v>1068.22</v>
      </c>
    </row>
    <row r="1151" spans="2:7" hidden="1" outlineLevel="2">
      <c r="B1151" s="330" t="s">
        <v>1412</v>
      </c>
      <c r="C1151" s="121" t="s">
        <v>298</v>
      </c>
      <c r="D1151" s="332" t="s">
        <v>57</v>
      </c>
      <c r="E1151" s="332">
        <v>44.72</v>
      </c>
      <c r="F1151" s="325">
        <v>12.19</v>
      </c>
      <c r="G1151" s="436">
        <f>ROUND(E1151*F1151,2)</f>
        <v>545.14</v>
      </c>
    </row>
    <row r="1152" spans="2:7" hidden="1" outlineLevel="2">
      <c r="B1152" s="331" t="s">
        <v>1413</v>
      </c>
      <c r="C1152" s="324" t="s">
        <v>178</v>
      </c>
      <c r="D1152" s="332"/>
      <c r="E1152" s="332"/>
      <c r="F1152" s="325"/>
      <c r="G1152" s="435">
        <f>+SUBTOTAL(9,G1153)</f>
        <v>200.55</v>
      </c>
    </row>
    <row r="1153" spans="2:7" hidden="1" outlineLevel="2">
      <c r="B1153" s="330" t="s">
        <v>1414</v>
      </c>
      <c r="C1153" s="121" t="s">
        <v>183</v>
      </c>
      <c r="D1153" s="332" t="s">
        <v>43</v>
      </c>
      <c r="E1153" s="332">
        <v>7</v>
      </c>
      <c r="F1153" s="325">
        <v>28.65</v>
      </c>
      <c r="G1153" s="436">
        <f>ROUND(E1153*F1153,2)</f>
        <v>200.55</v>
      </c>
    </row>
    <row r="1154" spans="2:7" hidden="1" outlineLevel="2">
      <c r="B1154" s="331" t="s">
        <v>1415</v>
      </c>
      <c r="C1154" s="324" t="s">
        <v>185</v>
      </c>
      <c r="D1154" s="332"/>
      <c r="E1154" s="332"/>
      <c r="F1154" s="325"/>
      <c r="G1154" s="435">
        <f>+SUBTOTAL(9,G1155)</f>
        <v>1575.11</v>
      </c>
    </row>
    <row r="1155" spans="2:7" hidden="1" outlineLevel="2">
      <c r="B1155" s="330" t="s">
        <v>1414</v>
      </c>
      <c r="C1155" s="121" t="s">
        <v>193</v>
      </c>
      <c r="D1155" s="332" t="s">
        <v>57</v>
      </c>
      <c r="E1155" s="332">
        <v>153.37</v>
      </c>
      <c r="F1155" s="325">
        <v>10.27</v>
      </c>
      <c r="G1155" s="436">
        <f>ROUND(E1155*F1155,2)</f>
        <v>1575.11</v>
      </c>
    </row>
    <row r="1156" spans="2:7" hidden="1" outlineLevel="1" collapsed="1">
      <c r="B1156" s="331" t="s">
        <v>1416</v>
      </c>
      <c r="C1156" s="324" t="s">
        <v>305</v>
      </c>
      <c r="D1156" s="332"/>
      <c r="E1156" s="332"/>
      <c r="F1156" s="325"/>
      <c r="G1156" s="435">
        <f>+SUBTOTAL(9,G1157:G1250)</f>
        <v>43126.03</v>
      </c>
    </row>
    <row r="1157" spans="2:7" hidden="1" outlineLevel="2">
      <c r="B1157" s="331" t="s">
        <v>1417</v>
      </c>
      <c r="C1157" s="324" t="s">
        <v>54</v>
      </c>
      <c r="D1157" s="332"/>
      <c r="E1157" s="332"/>
      <c r="F1157" s="325"/>
      <c r="G1157" s="435">
        <f>+SUBTOTAL(9,G1158:G1159)</f>
        <v>1865.29</v>
      </c>
    </row>
    <row r="1158" spans="2:7" hidden="1" outlineLevel="2">
      <c r="B1158" s="330" t="s">
        <v>1418</v>
      </c>
      <c r="C1158" s="121" t="s">
        <v>56</v>
      </c>
      <c r="D1158" s="332" t="s">
        <v>57</v>
      </c>
      <c r="E1158" s="332">
        <v>14.03</v>
      </c>
      <c r="F1158" s="325">
        <v>68.64</v>
      </c>
      <c r="G1158" s="436">
        <f>ROUND(E1158*F1158,2)</f>
        <v>963.02</v>
      </c>
    </row>
    <row r="1159" spans="2:7" hidden="1" outlineLevel="2">
      <c r="B1159" s="330" t="s">
        <v>1419</v>
      </c>
      <c r="C1159" s="121" t="s">
        <v>199</v>
      </c>
      <c r="D1159" s="332" t="s">
        <v>57</v>
      </c>
      <c r="E1159" s="332">
        <v>14.03</v>
      </c>
      <c r="F1159" s="325">
        <v>64.31</v>
      </c>
      <c r="G1159" s="436">
        <f>ROUND(E1159*F1159,2)</f>
        <v>902.27</v>
      </c>
    </row>
    <row r="1160" spans="2:7" hidden="1" outlineLevel="2">
      <c r="B1160" s="331" t="s">
        <v>1420</v>
      </c>
      <c r="C1160" s="324" t="s">
        <v>66</v>
      </c>
      <c r="D1160" s="332"/>
      <c r="E1160" s="332"/>
      <c r="F1160" s="325"/>
      <c r="G1160" s="435">
        <f>+SUBTOTAL(9,G1161:G1164)</f>
        <v>3592.47</v>
      </c>
    </row>
    <row r="1161" spans="2:7" hidden="1" outlineLevel="2">
      <c r="B1161" s="330" t="s">
        <v>1421</v>
      </c>
      <c r="C1161" s="121" t="s">
        <v>311</v>
      </c>
      <c r="D1161" s="332" t="s">
        <v>69</v>
      </c>
      <c r="E1161" s="332">
        <v>10.99</v>
      </c>
      <c r="F1161" s="325">
        <v>264.68</v>
      </c>
      <c r="G1161" s="436">
        <f>ROUND(E1161*F1161,2)</f>
        <v>2908.83</v>
      </c>
    </row>
    <row r="1162" spans="2:7" hidden="1" outlineLevel="2">
      <c r="B1162" s="330" t="s">
        <v>1422</v>
      </c>
      <c r="C1162" s="121" t="s">
        <v>73</v>
      </c>
      <c r="D1162" s="332" t="s">
        <v>57</v>
      </c>
      <c r="E1162" s="332">
        <v>14.04</v>
      </c>
      <c r="F1162" s="325">
        <v>14.12</v>
      </c>
      <c r="G1162" s="436">
        <f>ROUND(E1162*F1162,2)</f>
        <v>198.24</v>
      </c>
    </row>
    <row r="1163" spans="2:7" hidden="1" outlineLevel="2">
      <c r="B1163" s="330" t="s">
        <v>1423</v>
      </c>
      <c r="C1163" s="121" t="s">
        <v>75</v>
      </c>
      <c r="D1163" s="332" t="s">
        <v>69</v>
      </c>
      <c r="E1163" s="332">
        <v>3.47</v>
      </c>
      <c r="F1163" s="325">
        <v>96.56</v>
      </c>
      <c r="G1163" s="436">
        <f>ROUND(E1163*F1163,2)</f>
        <v>335.06</v>
      </c>
    </row>
    <row r="1164" spans="2:7" hidden="1" outlineLevel="2">
      <c r="B1164" s="330" t="s">
        <v>1424</v>
      </c>
      <c r="C1164" s="121" t="s">
        <v>77</v>
      </c>
      <c r="D1164" s="332" t="s">
        <v>69</v>
      </c>
      <c r="E1164" s="332">
        <v>10.99</v>
      </c>
      <c r="F1164" s="325">
        <v>13.68</v>
      </c>
      <c r="G1164" s="436">
        <f>ROUND(E1164*F1164,2)</f>
        <v>150.34</v>
      </c>
    </row>
    <row r="1165" spans="2:7" hidden="1" outlineLevel="2">
      <c r="B1165" s="331" t="s">
        <v>1425</v>
      </c>
      <c r="C1165" s="324" t="s">
        <v>79</v>
      </c>
      <c r="D1165" s="332"/>
      <c r="E1165" s="332"/>
      <c r="F1165" s="325"/>
      <c r="G1165" s="435">
        <f>+SUBTOTAL(9,G1166:G1169)</f>
        <v>2122.3099999999995</v>
      </c>
    </row>
    <row r="1166" spans="2:7" hidden="1" outlineLevel="2">
      <c r="B1166" s="330" t="s">
        <v>1426</v>
      </c>
      <c r="C1166" s="121" t="s">
        <v>81</v>
      </c>
      <c r="D1166" s="332" t="s">
        <v>69</v>
      </c>
      <c r="E1166" s="332">
        <v>0.44</v>
      </c>
      <c r="F1166" s="325">
        <v>398.62</v>
      </c>
      <c r="G1166" s="436">
        <f>ROUND(E1166*F1166,2)</f>
        <v>175.39</v>
      </c>
    </row>
    <row r="1167" spans="2:7" hidden="1" outlineLevel="2">
      <c r="B1167" s="330" t="s">
        <v>1427</v>
      </c>
      <c r="C1167" s="121" t="s">
        <v>318</v>
      </c>
      <c r="D1167" s="332" t="s">
        <v>69</v>
      </c>
      <c r="E1167" s="332">
        <v>2.42</v>
      </c>
      <c r="F1167" s="325">
        <v>353.53</v>
      </c>
      <c r="G1167" s="436">
        <f>ROUND(E1167*F1167,2)</f>
        <v>855.54</v>
      </c>
    </row>
    <row r="1168" spans="2:7" hidden="1" outlineLevel="2">
      <c r="B1168" s="330" t="s">
        <v>1428</v>
      </c>
      <c r="C1168" s="121" t="s">
        <v>320</v>
      </c>
      <c r="D1168" s="332" t="s">
        <v>69</v>
      </c>
      <c r="E1168" s="332">
        <v>1.03</v>
      </c>
      <c r="F1168" s="325">
        <v>415.41</v>
      </c>
      <c r="G1168" s="436">
        <f>ROUND(E1168*F1168,2)</f>
        <v>427.87</v>
      </c>
    </row>
    <row r="1169" spans="2:7" hidden="1" outlineLevel="2">
      <c r="B1169" s="330" t="s">
        <v>1429</v>
      </c>
      <c r="C1169" s="121" t="s">
        <v>322</v>
      </c>
      <c r="D1169" s="332" t="s">
        <v>57</v>
      </c>
      <c r="E1169" s="332">
        <v>13.76</v>
      </c>
      <c r="F1169" s="325">
        <v>48.22</v>
      </c>
      <c r="G1169" s="436">
        <f>ROUND(E1169*F1169,2)</f>
        <v>663.51</v>
      </c>
    </row>
    <row r="1170" spans="2:7" hidden="1" outlineLevel="2">
      <c r="B1170" s="331" t="s">
        <v>1430</v>
      </c>
      <c r="C1170" s="324" t="s">
        <v>85</v>
      </c>
      <c r="D1170" s="332"/>
      <c r="E1170" s="332"/>
      <c r="F1170" s="325"/>
      <c r="G1170" s="435">
        <f>+SUBTOTAL(9,G1171:G1185)</f>
        <v>10330.100000000002</v>
      </c>
    </row>
    <row r="1171" spans="2:7" hidden="1" outlineLevel="2">
      <c r="B1171" s="331" t="s">
        <v>1431</v>
      </c>
      <c r="C1171" s="324" t="s">
        <v>974</v>
      </c>
      <c r="D1171" s="332"/>
      <c r="E1171" s="332"/>
      <c r="F1171" s="325"/>
      <c r="G1171" s="435">
        <f>+SUBTOTAL(9,G1172:G1173)</f>
        <v>1367.71</v>
      </c>
    </row>
    <row r="1172" spans="2:7" hidden="1" outlineLevel="2">
      <c r="B1172" s="330" t="s">
        <v>1432</v>
      </c>
      <c r="C1172" s="121" t="s">
        <v>220</v>
      </c>
      <c r="D1172" s="332" t="s">
        <v>69</v>
      </c>
      <c r="E1172" s="332">
        <v>2.2000000000000002</v>
      </c>
      <c r="F1172" s="325">
        <v>417.1</v>
      </c>
      <c r="G1172" s="436">
        <f>ROUND(E1172*F1172,2)</f>
        <v>917.62</v>
      </c>
    </row>
    <row r="1173" spans="2:7" hidden="1" outlineLevel="2">
      <c r="B1173" s="330" t="s">
        <v>1433</v>
      </c>
      <c r="C1173" s="121" t="s">
        <v>93</v>
      </c>
      <c r="D1173" s="332" t="s">
        <v>94</v>
      </c>
      <c r="E1173" s="332">
        <v>61.07</v>
      </c>
      <c r="F1173" s="325">
        <v>7.37</v>
      </c>
      <c r="G1173" s="436">
        <f>ROUND(E1173*F1173,2)</f>
        <v>450.09</v>
      </c>
    </row>
    <row r="1174" spans="2:7" hidden="1" outlineLevel="2">
      <c r="B1174" s="331" t="s">
        <v>1434</v>
      </c>
      <c r="C1174" s="324" t="s">
        <v>227</v>
      </c>
      <c r="D1174" s="332"/>
      <c r="E1174" s="332"/>
      <c r="F1174" s="325"/>
      <c r="G1174" s="435">
        <f>+SUBTOTAL(9,G1175:G1177)</f>
        <v>2659.8</v>
      </c>
    </row>
    <row r="1175" spans="2:7" hidden="1" outlineLevel="2">
      <c r="B1175" s="330" t="s">
        <v>1435</v>
      </c>
      <c r="C1175" s="121" t="s">
        <v>229</v>
      </c>
      <c r="D1175" s="332" t="s">
        <v>69</v>
      </c>
      <c r="E1175" s="332">
        <v>0.9</v>
      </c>
      <c r="F1175" s="325">
        <v>427.59</v>
      </c>
      <c r="G1175" s="436">
        <f>ROUND(E1175*F1175,2)</f>
        <v>384.83</v>
      </c>
    </row>
    <row r="1176" spans="2:7" hidden="1" outlineLevel="2">
      <c r="B1176" s="330" t="s">
        <v>1436</v>
      </c>
      <c r="C1176" s="121" t="s">
        <v>231</v>
      </c>
      <c r="D1176" s="332" t="s">
        <v>57</v>
      </c>
      <c r="E1176" s="332">
        <v>13.8</v>
      </c>
      <c r="F1176" s="325">
        <v>65.900000000000006</v>
      </c>
      <c r="G1176" s="436">
        <f>ROUND(E1176*F1176,2)</f>
        <v>909.42</v>
      </c>
    </row>
    <row r="1177" spans="2:7" hidden="1" outlineLevel="2">
      <c r="B1177" s="330" t="s">
        <v>1437</v>
      </c>
      <c r="C1177" s="121" t="s">
        <v>233</v>
      </c>
      <c r="D1177" s="332" t="s">
        <v>94</v>
      </c>
      <c r="E1177" s="332">
        <v>182.56</v>
      </c>
      <c r="F1177" s="325">
        <v>7.48</v>
      </c>
      <c r="G1177" s="436">
        <f>ROUND(E1177*F1177,2)</f>
        <v>1365.55</v>
      </c>
    </row>
    <row r="1178" spans="2:7" hidden="1" outlineLevel="2">
      <c r="B1178" s="331" t="s">
        <v>1438</v>
      </c>
      <c r="C1178" s="324" t="s">
        <v>241</v>
      </c>
      <c r="D1178" s="332"/>
      <c r="E1178" s="332"/>
      <c r="F1178" s="325"/>
      <c r="G1178" s="435">
        <f>+SUBTOTAL(9,G1179:G1181)</f>
        <v>2531.88</v>
      </c>
    </row>
    <row r="1179" spans="2:7" hidden="1" outlineLevel="2">
      <c r="B1179" s="330" t="s">
        <v>1439</v>
      </c>
      <c r="C1179" s="121" t="s">
        <v>333</v>
      </c>
      <c r="D1179" s="332" t="s">
        <v>69</v>
      </c>
      <c r="E1179" s="332">
        <v>1.34</v>
      </c>
      <c r="F1179" s="325">
        <v>427.59</v>
      </c>
      <c r="G1179" s="436">
        <f>ROUND(E1179*F1179,2)</f>
        <v>572.97</v>
      </c>
    </row>
    <row r="1180" spans="2:7" hidden="1" outlineLevel="2">
      <c r="B1180" s="330" t="s">
        <v>1440</v>
      </c>
      <c r="C1180" s="121" t="s">
        <v>122</v>
      </c>
      <c r="D1180" s="332" t="s">
        <v>57</v>
      </c>
      <c r="E1180" s="332">
        <v>9.98</v>
      </c>
      <c r="F1180" s="325">
        <v>75.39</v>
      </c>
      <c r="G1180" s="436">
        <f>ROUND(E1180*F1180,2)</f>
        <v>752.39</v>
      </c>
    </row>
    <row r="1181" spans="2:7" hidden="1" outlineLevel="2">
      <c r="B1181" s="330" t="s">
        <v>1441</v>
      </c>
      <c r="C1181" s="121" t="s">
        <v>336</v>
      </c>
      <c r="D1181" s="332" t="s">
        <v>94</v>
      </c>
      <c r="E1181" s="332">
        <v>161.30000000000001</v>
      </c>
      <c r="F1181" s="325">
        <v>7.48</v>
      </c>
      <c r="G1181" s="436">
        <f>ROUND(E1181*F1181,2)</f>
        <v>1206.52</v>
      </c>
    </row>
    <row r="1182" spans="2:7" hidden="1" outlineLevel="2">
      <c r="B1182" s="331" t="s">
        <v>1442</v>
      </c>
      <c r="C1182" s="324" t="s">
        <v>695</v>
      </c>
      <c r="D1182" s="332"/>
      <c r="E1182" s="332"/>
      <c r="F1182" s="325"/>
      <c r="G1182" s="435">
        <f>+SUBTOTAL(9,G1183:G1185)</f>
        <v>3770.71</v>
      </c>
    </row>
    <row r="1183" spans="2:7" hidden="1" outlineLevel="2">
      <c r="B1183" s="330" t="s">
        <v>1443</v>
      </c>
      <c r="C1183" s="121" t="s">
        <v>339</v>
      </c>
      <c r="D1183" s="332" t="s">
        <v>69</v>
      </c>
      <c r="E1183" s="332">
        <v>2.58</v>
      </c>
      <c r="F1183" s="325">
        <v>417.1</v>
      </c>
      <c r="G1183" s="436">
        <f>ROUND(E1183*F1183,2)</f>
        <v>1076.1199999999999</v>
      </c>
    </row>
    <row r="1184" spans="2:7" hidden="1" outlineLevel="2">
      <c r="B1184" s="330" t="s">
        <v>1444</v>
      </c>
      <c r="C1184" s="121" t="s">
        <v>252</v>
      </c>
      <c r="D1184" s="332" t="s">
        <v>57</v>
      </c>
      <c r="E1184" s="332">
        <v>20</v>
      </c>
      <c r="F1184" s="325">
        <v>60.67</v>
      </c>
      <c r="G1184" s="436">
        <f>ROUND(E1184*F1184,2)</f>
        <v>1213.4000000000001</v>
      </c>
    </row>
    <row r="1185" spans="2:7" hidden="1" outlineLevel="2">
      <c r="B1185" s="330" t="s">
        <v>1445</v>
      </c>
      <c r="C1185" s="121" t="s">
        <v>254</v>
      </c>
      <c r="D1185" s="332" t="s">
        <v>94</v>
      </c>
      <c r="E1185" s="332">
        <v>198.02</v>
      </c>
      <c r="F1185" s="325">
        <v>7.48</v>
      </c>
      <c r="G1185" s="436">
        <f>ROUND(E1185*F1185,2)</f>
        <v>1481.19</v>
      </c>
    </row>
    <row r="1186" spans="2:7" hidden="1" outlineLevel="2">
      <c r="B1186" s="331" t="s">
        <v>1446</v>
      </c>
      <c r="C1186" s="324" t="s">
        <v>343</v>
      </c>
      <c r="D1186" s="332"/>
      <c r="E1186" s="332"/>
      <c r="F1186" s="325"/>
      <c r="G1186" s="435">
        <f>+SUBTOTAL(9,G1187)</f>
        <v>3287.22</v>
      </c>
    </row>
    <row r="1187" spans="2:7" hidden="1" outlineLevel="2">
      <c r="B1187" s="330" t="s">
        <v>1447</v>
      </c>
      <c r="C1187" s="121" t="s">
        <v>548</v>
      </c>
      <c r="D1187" s="332" t="s">
        <v>57</v>
      </c>
      <c r="E1187" s="332">
        <v>31.98</v>
      </c>
      <c r="F1187" s="325">
        <v>102.79</v>
      </c>
      <c r="G1187" s="436">
        <f>ROUND(E1187*F1187,2)</f>
        <v>3287.22</v>
      </c>
    </row>
    <row r="1188" spans="2:7" hidden="1" outlineLevel="2">
      <c r="B1188" s="331" t="s">
        <v>1448</v>
      </c>
      <c r="C1188" s="324" t="s">
        <v>134</v>
      </c>
      <c r="D1188" s="332"/>
      <c r="E1188" s="332"/>
      <c r="F1188" s="325"/>
      <c r="G1188" s="435">
        <f>+SUBTOTAL(9,G1189:G1195)</f>
        <v>3714.9500000000003</v>
      </c>
    </row>
    <row r="1189" spans="2:7" ht="30" hidden="1" outlineLevel="2">
      <c r="B1189" s="330" t="s">
        <v>1449</v>
      </c>
      <c r="C1189" s="121" t="s">
        <v>348</v>
      </c>
      <c r="D1189" s="332" t="s">
        <v>57</v>
      </c>
      <c r="E1189" s="332">
        <v>44.02</v>
      </c>
      <c r="F1189" s="325">
        <v>27.37</v>
      </c>
      <c r="G1189" s="436">
        <f t="shared" ref="G1189:G1195" si="22">ROUND(E1189*F1189,2)</f>
        <v>1204.83</v>
      </c>
    </row>
    <row r="1190" spans="2:7" ht="30" hidden="1" outlineLevel="2">
      <c r="B1190" s="330" t="s">
        <v>1450</v>
      </c>
      <c r="C1190" s="121" t="s">
        <v>350</v>
      </c>
      <c r="D1190" s="332" t="s">
        <v>57</v>
      </c>
      <c r="E1190" s="332">
        <v>38.15</v>
      </c>
      <c r="F1190" s="325">
        <v>27.37</v>
      </c>
      <c r="G1190" s="436">
        <f t="shared" si="22"/>
        <v>1044.17</v>
      </c>
    </row>
    <row r="1191" spans="2:7" ht="30" hidden="1" outlineLevel="2">
      <c r="B1191" s="330" t="s">
        <v>1451</v>
      </c>
      <c r="C1191" s="121" t="s">
        <v>352</v>
      </c>
      <c r="D1191" s="332" t="s">
        <v>57</v>
      </c>
      <c r="E1191" s="332">
        <v>17.22</v>
      </c>
      <c r="F1191" s="325">
        <v>27.37</v>
      </c>
      <c r="G1191" s="436">
        <f t="shared" si="22"/>
        <v>471.31</v>
      </c>
    </row>
    <row r="1192" spans="2:7" ht="30" hidden="1" outlineLevel="2">
      <c r="B1192" s="330" t="s">
        <v>1452</v>
      </c>
      <c r="C1192" s="121" t="s">
        <v>354</v>
      </c>
      <c r="D1192" s="332" t="s">
        <v>57</v>
      </c>
      <c r="E1192" s="332">
        <v>2.78</v>
      </c>
      <c r="F1192" s="325">
        <v>27.37</v>
      </c>
      <c r="G1192" s="436">
        <f t="shared" si="22"/>
        <v>76.09</v>
      </c>
    </row>
    <row r="1193" spans="2:7" hidden="1" outlineLevel="2">
      <c r="B1193" s="330" t="s">
        <v>1453</v>
      </c>
      <c r="C1193" s="121" t="s">
        <v>356</v>
      </c>
      <c r="D1193" s="332" t="s">
        <v>57</v>
      </c>
      <c r="E1193" s="332">
        <v>14.2</v>
      </c>
      <c r="F1193" s="325">
        <v>32.47</v>
      </c>
      <c r="G1193" s="436">
        <f t="shared" si="22"/>
        <v>461.07</v>
      </c>
    </row>
    <row r="1194" spans="2:7" hidden="1" outlineLevel="2">
      <c r="B1194" s="330" t="s">
        <v>1454</v>
      </c>
      <c r="C1194" s="121" t="s">
        <v>277</v>
      </c>
      <c r="D1194" s="332" t="s">
        <v>64</v>
      </c>
      <c r="E1194" s="332">
        <v>9.6</v>
      </c>
      <c r="F1194" s="325">
        <v>17.440000000000001</v>
      </c>
      <c r="G1194" s="436">
        <f t="shared" si="22"/>
        <v>167.42</v>
      </c>
    </row>
    <row r="1195" spans="2:7" hidden="1" outlineLevel="2">
      <c r="B1195" s="330" t="s">
        <v>1455</v>
      </c>
      <c r="C1195" s="121" t="s">
        <v>156</v>
      </c>
      <c r="D1195" s="332" t="s">
        <v>57</v>
      </c>
      <c r="E1195" s="332">
        <v>67.930000000000007</v>
      </c>
      <c r="F1195" s="325">
        <v>4.2699999999999996</v>
      </c>
      <c r="G1195" s="436">
        <f t="shared" si="22"/>
        <v>290.06</v>
      </c>
    </row>
    <row r="1196" spans="2:7" hidden="1" outlineLevel="2">
      <c r="B1196" s="331" t="s">
        <v>1456</v>
      </c>
      <c r="C1196" s="324" t="s">
        <v>158</v>
      </c>
      <c r="D1196" s="332"/>
      <c r="E1196" s="332"/>
      <c r="F1196" s="325"/>
      <c r="G1196" s="435">
        <f>+SUBTOTAL(9,G1197:G1199)</f>
        <v>2952.88</v>
      </c>
    </row>
    <row r="1197" spans="2:7" hidden="1" outlineLevel="2">
      <c r="B1197" s="330" t="s">
        <v>1457</v>
      </c>
      <c r="C1197" s="121" t="s">
        <v>361</v>
      </c>
      <c r="D1197" s="332" t="s">
        <v>57</v>
      </c>
      <c r="E1197" s="332">
        <v>11.61</v>
      </c>
      <c r="F1197" s="325">
        <v>66.84</v>
      </c>
      <c r="G1197" s="436">
        <f>ROUND(E1197*F1197,2)</f>
        <v>776.01</v>
      </c>
    </row>
    <row r="1198" spans="2:7" hidden="1" outlineLevel="2">
      <c r="B1198" s="330" t="s">
        <v>1458</v>
      </c>
      <c r="C1198" s="121" t="s">
        <v>363</v>
      </c>
      <c r="D1198" s="332" t="s">
        <v>57</v>
      </c>
      <c r="E1198" s="332">
        <v>11.61</v>
      </c>
      <c r="F1198" s="325">
        <v>171.61</v>
      </c>
      <c r="G1198" s="436">
        <f>ROUND(E1198*F1198,2)</f>
        <v>1992.39</v>
      </c>
    </row>
    <row r="1199" spans="2:7" hidden="1" outlineLevel="2">
      <c r="B1199" s="330" t="s">
        <v>1459</v>
      </c>
      <c r="C1199" s="121" t="s">
        <v>160</v>
      </c>
      <c r="D1199" s="332" t="s">
        <v>57</v>
      </c>
      <c r="E1199" s="332">
        <v>2.76</v>
      </c>
      <c r="F1199" s="325">
        <v>66.84</v>
      </c>
      <c r="G1199" s="436">
        <f>ROUND(E1199*F1199,2)</f>
        <v>184.48</v>
      </c>
    </row>
    <row r="1200" spans="2:7" hidden="1" outlineLevel="2">
      <c r="B1200" s="331" t="s">
        <v>1460</v>
      </c>
      <c r="C1200" s="324" t="s">
        <v>162</v>
      </c>
      <c r="D1200" s="332"/>
      <c r="E1200" s="332"/>
      <c r="F1200" s="325"/>
      <c r="G1200" s="435">
        <f>+SUBTOTAL(9,G1201:G1202)</f>
        <v>4568.1099999999997</v>
      </c>
    </row>
    <row r="1201" spans="2:7" hidden="1" outlineLevel="2">
      <c r="B1201" s="330" t="s">
        <v>1461</v>
      </c>
      <c r="C1201" s="121" t="s">
        <v>1110</v>
      </c>
      <c r="D1201" s="332" t="s">
        <v>287</v>
      </c>
      <c r="E1201" s="332">
        <v>1</v>
      </c>
      <c r="F1201" s="325">
        <v>3753</v>
      </c>
      <c r="G1201" s="436">
        <f>ROUND(E1201*F1201,2)</f>
        <v>3753</v>
      </c>
    </row>
    <row r="1202" spans="2:7" hidden="1" outlineLevel="2">
      <c r="B1202" s="330" t="s">
        <v>1462</v>
      </c>
      <c r="C1202" s="121" t="s">
        <v>289</v>
      </c>
      <c r="D1202" s="332" t="s">
        <v>287</v>
      </c>
      <c r="E1202" s="332">
        <v>1</v>
      </c>
      <c r="F1202" s="325">
        <v>815.11</v>
      </c>
      <c r="G1202" s="436">
        <f>ROUND(E1202*F1202,2)</f>
        <v>815.11</v>
      </c>
    </row>
    <row r="1203" spans="2:7" hidden="1" outlineLevel="2">
      <c r="B1203" s="331" t="s">
        <v>1463</v>
      </c>
      <c r="C1203" s="324" t="s">
        <v>174</v>
      </c>
      <c r="D1203" s="332"/>
      <c r="E1203" s="332"/>
      <c r="F1203" s="325"/>
      <c r="G1203" s="435">
        <f>+SUBTOTAL(9,G1204:G1206)</f>
        <v>1068.9099999999999</v>
      </c>
    </row>
    <row r="1204" spans="2:7" hidden="1" outlineLevel="2">
      <c r="B1204" s="330" t="s">
        <v>1464</v>
      </c>
      <c r="C1204" s="121" t="s">
        <v>294</v>
      </c>
      <c r="D1204" s="332" t="s">
        <v>57</v>
      </c>
      <c r="E1204" s="332">
        <v>44.02</v>
      </c>
      <c r="F1204" s="325">
        <v>9.8000000000000007</v>
      </c>
      <c r="G1204" s="436">
        <f>ROUND(E1204*F1204,2)</f>
        <v>431.4</v>
      </c>
    </row>
    <row r="1205" spans="2:7" hidden="1" outlineLevel="2">
      <c r="B1205" s="330" t="s">
        <v>1465</v>
      </c>
      <c r="C1205" s="121" t="s">
        <v>296</v>
      </c>
      <c r="D1205" s="332" t="s">
        <v>57</v>
      </c>
      <c r="E1205" s="332">
        <v>38.15</v>
      </c>
      <c r="F1205" s="325">
        <v>10.32</v>
      </c>
      <c r="G1205" s="436">
        <f>ROUND(E1205*F1205,2)</f>
        <v>393.71</v>
      </c>
    </row>
    <row r="1206" spans="2:7" hidden="1" outlineLevel="2">
      <c r="B1206" s="330" t="s">
        <v>1466</v>
      </c>
      <c r="C1206" s="121" t="s">
        <v>298</v>
      </c>
      <c r="D1206" s="332" t="s">
        <v>57</v>
      </c>
      <c r="E1206" s="332">
        <v>20</v>
      </c>
      <c r="F1206" s="325">
        <v>12.19</v>
      </c>
      <c r="G1206" s="436">
        <f>ROUND(E1206*F1206,2)</f>
        <v>243.8</v>
      </c>
    </row>
    <row r="1207" spans="2:7" hidden="1" outlineLevel="2">
      <c r="B1207" s="331" t="s">
        <v>1467</v>
      </c>
      <c r="C1207" s="324" t="s">
        <v>178</v>
      </c>
      <c r="D1207" s="332"/>
      <c r="E1207" s="332"/>
      <c r="F1207" s="325"/>
      <c r="G1207" s="435">
        <f>+SUBTOTAL(9,G1208)</f>
        <v>85.95</v>
      </c>
    </row>
    <row r="1208" spans="2:7" hidden="1" outlineLevel="2">
      <c r="B1208" s="330" t="s">
        <v>1468</v>
      </c>
      <c r="C1208" s="121" t="s">
        <v>183</v>
      </c>
      <c r="D1208" s="332" t="s">
        <v>43</v>
      </c>
      <c r="E1208" s="332">
        <v>3</v>
      </c>
      <c r="F1208" s="325">
        <v>28.65</v>
      </c>
      <c r="G1208" s="436">
        <f>ROUND(E1208*F1208,2)</f>
        <v>85.95</v>
      </c>
    </row>
    <row r="1209" spans="2:7" hidden="1" outlineLevel="2">
      <c r="B1209" s="331" t="s">
        <v>1469</v>
      </c>
      <c r="C1209" s="324" t="s">
        <v>185</v>
      </c>
      <c r="D1209" s="332"/>
      <c r="E1209" s="332"/>
      <c r="F1209" s="325"/>
      <c r="G1209" s="435">
        <f>+SUBTOTAL(9,G1210:G1211)</f>
        <v>452.78000000000003</v>
      </c>
    </row>
    <row r="1210" spans="2:7" ht="30" hidden="1" outlineLevel="2">
      <c r="B1210" s="330" t="s">
        <v>1470</v>
      </c>
      <c r="C1210" s="121" t="s">
        <v>189</v>
      </c>
      <c r="D1210" s="332" t="s">
        <v>64</v>
      </c>
      <c r="E1210" s="332">
        <v>0.6</v>
      </c>
      <c r="F1210" s="325">
        <v>5.27</v>
      </c>
      <c r="G1210" s="436">
        <f>ROUND(E1210*F1210,2)</f>
        <v>3.16</v>
      </c>
    </row>
    <row r="1211" spans="2:7" hidden="1" outlineLevel="2">
      <c r="B1211" s="330" t="s">
        <v>1471</v>
      </c>
      <c r="C1211" s="121" t="s">
        <v>193</v>
      </c>
      <c r="D1211" s="332" t="s">
        <v>57</v>
      </c>
      <c r="E1211" s="332">
        <v>43.78</v>
      </c>
      <c r="F1211" s="325">
        <v>10.27</v>
      </c>
      <c r="G1211" s="436">
        <f>ROUND(E1211*F1211,2)</f>
        <v>449.62</v>
      </c>
    </row>
    <row r="1212" spans="2:7" hidden="1" outlineLevel="2">
      <c r="B1212" s="331" t="s">
        <v>1472</v>
      </c>
      <c r="C1212" s="324" t="s">
        <v>380</v>
      </c>
      <c r="D1212" s="332"/>
      <c r="E1212" s="332"/>
      <c r="F1212" s="325"/>
      <c r="G1212" s="435">
        <f>+SUBTOTAL(9,G1213:G1220)</f>
        <v>1787.3300000000002</v>
      </c>
    </row>
    <row r="1213" spans="2:7" hidden="1" outlineLevel="2">
      <c r="B1213" s="330" t="s">
        <v>1473</v>
      </c>
      <c r="C1213" s="121" t="s">
        <v>382</v>
      </c>
      <c r="D1213" s="332" t="s">
        <v>43</v>
      </c>
      <c r="E1213" s="332">
        <v>1</v>
      </c>
      <c r="F1213" s="325">
        <v>176.94</v>
      </c>
      <c r="G1213" s="436">
        <f t="shared" ref="G1213:G1220" si="23">ROUND(E1213*F1213,2)</f>
        <v>176.94</v>
      </c>
    </row>
    <row r="1214" spans="2:7" hidden="1" outlineLevel="2">
      <c r="B1214" s="330" t="s">
        <v>1474</v>
      </c>
      <c r="C1214" s="121" t="s">
        <v>384</v>
      </c>
      <c r="D1214" s="332" t="s">
        <v>43</v>
      </c>
      <c r="E1214" s="332">
        <v>1</v>
      </c>
      <c r="F1214" s="325">
        <v>76.180000000000007</v>
      </c>
      <c r="G1214" s="436">
        <f t="shared" si="23"/>
        <v>76.180000000000007</v>
      </c>
    </row>
    <row r="1215" spans="2:7" hidden="1" outlineLevel="2">
      <c r="B1215" s="330" t="s">
        <v>1475</v>
      </c>
      <c r="C1215" s="121" t="s">
        <v>386</v>
      </c>
      <c r="D1215" s="332" t="s">
        <v>43</v>
      </c>
      <c r="E1215" s="332">
        <v>1</v>
      </c>
      <c r="F1215" s="325">
        <v>175.41</v>
      </c>
      <c r="G1215" s="436">
        <f t="shared" si="23"/>
        <v>175.41</v>
      </c>
    </row>
    <row r="1216" spans="2:7" hidden="1" outlineLevel="2">
      <c r="B1216" s="330" t="s">
        <v>1476</v>
      </c>
      <c r="C1216" s="121" t="s">
        <v>388</v>
      </c>
      <c r="D1216" s="332" t="s">
        <v>43</v>
      </c>
      <c r="E1216" s="332">
        <v>1</v>
      </c>
      <c r="F1216" s="325">
        <v>41.25</v>
      </c>
      <c r="G1216" s="436">
        <f t="shared" si="23"/>
        <v>41.25</v>
      </c>
    </row>
    <row r="1217" spans="2:7" hidden="1" outlineLevel="2">
      <c r="B1217" s="330" t="s">
        <v>1477</v>
      </c>
      <c r="C1217" s="121" t="s">
        <v>390</v>
      </c>
      <c r="D1217" s="332" t="s">
        <v>43</v>
      </c>
      <c r="E1217" s="332">
        <v>1</v>
      </c>
      <c r="F1217" s="325">
        <v>71.88</v>
      </c>
      <c r="G1217" s="436">
        <f t="shared" si="23"/>
        <v>71.88</v>
      </c>
    </row>
    <row r="1218" spans="2:7" hidden="1" outlineLevel="2">
      <c r="B1218" s="330" t="s">
        <v>1478</v>
      </c>
      <c r="C1218" s="121" t="s">
        <v>392</v>
      </c>
      <c r="D1218" s="332" t="s">
        <v>43</v>
      </c>
      <c r="E1218" s="332">
        <v>1</v>
      </c>
      <c r="F1218" s="325">
        <v>90.07</v>
      </c>
      <c r="G1218" s="436">
        <f t="shared" si="23"/>
        <v>90.07</v>
      </c>
    </row>
    <row r="1219" spans="2:7" hidden="1" outlineLevel="2">
      <c r="B1219" s="330" t="s">
        <v>1479</v>
      </c>
      <c r="C1219" s="121" t="s">
        <v>394</v>
      </c>
      <c r="D1219" s="332" t="s">
        <v>43</v>
      </c>
      <c r="E1219" s="332">
        <v>3</v>
      </c>
      <c r="F1219" s="325">
        <v>308.19</v>
      </c>
      <c r="G1219" s="436">
        <f t="shared" si="23"/>
        <v>924.57</v>
      </c>
    </row>
    <row r="1220" spans="2:7" hidden="1" outlineLevel="2">
      <c r="B1220" s="330" t="s">
        <v>1480</v>
      </c>
      <c r="C1220" s="121" t="s">
        <v>396</v>
      </c>
      <c r="D1220" s="332" t="s">
        <v>43</v>
      </c>
      <c r="E1220" s="332">
        <v>3</v>
      </c>
      <c r="F1220" s="325">
        <v>77.010000000000005</v>
      </c>
      <c r="G1220" s="436">
        <f t="shared" si="23"/>
        <v>231.03</v>
      </c>
    </row>
    <row r="1221" spans="2:7" hidden="1" outlineLevel="2">
      <c r="B1221" s="331" t="s">
        <v>1481</v>
      </c>
      <c r="C1221" s="324" t="s">
        <v>398</v>
      </c>
      <c r="D1221" s="332"/>
      <c r="E1221" s="332"/>
      <c r="F1221" s="325"/>
      <c r="G1221" s="435">
        <f>+SUBTOTAL(9,G1222:G1250)</f>
        <v>7297.7300000000005</v>
      </c>
    </row>
    <row r="1222" spans="2:7" hidden="1" outlineLevel="2">
      <c r="B1222" s="330" t="s">
        <v>1473</v>
      </c>
      <c r="C1222" s="121" t="s">
        <v>399</v>
      </c>
      <c r="D1222" s="332" t="s">
        <v>64</v>
      </c>
      <c r="E1222" s="332">
        <v>5.25</v>
      </c>
      <c r="F1222" s="325">
        <v>11.68</v>
      </c>
      <c r="G1222" s="436">
        <f t="shared" ref="G1222:G1250" si="24">ROUND(E1222*F1222,2)</f>
        <v>61.32</v>
      </c>
    </row>
    <row r="1223" spans="2:7" hidden="1" outlineLevel="2">
      <c r="B1223" s="330" t="s">
        <v>1474</v>
      </c>
      <c r="C1223" s="121" t="s">
        <v>400</v>
      </c>
      <c r="D1223" s="332" t="s">
        <v>64</v>
      </c>
      <c r="E1223" s="332">
        <v>46.3</v>
      </c>
      <c r="F1223" s="325">
        <v>17.149999999999999</v>
      </c>
      <c r="G1223" s="436">
        <f t="shared" si="24"/>
        <v>794.05</v>
      </c>
    </row>
    <row r="1224" spans="2:7" hidden="1" outlineLevel="2">
      <c r="B1224" s="330" t="s">
        <v>1475</v>
      </c>
      <c r="C1224" s="121" t="s">
        <v>401</v>
      </c>
      <c r="D1224" s="332" t="s">
        <v>64</v>
      </c>
      <c r="E1224" s="332">
        <v>24.9</v>
      </c>
      <c r="F1224" s="325">
        <v>18.86</v>
      </c>
      <c r="G1224" s="436">
        <f t="shared" si="24"/>
        <v>469.61</v>
      </c>
    </row>
    <row r="1225" spans="2:7" hidden="1" outlineLevel="2">
      <c r="B1225" s="330" t="s">
        <v>1476</v>
      </c>
      <c r="C1225" s="121" t="s">
        <v>402</v>
      </c>
      <c r="D1225" s="332" t="s">
        <v>64</v>
      </c>
      <c r="E1225" s="332">
        <v>55.85</v>
      </c>
      <c r="F1225" s="325">
        <v>21.52</v>
      </c>
      <c r="G1225" s="436">
        <f t="shared" si="24"/>
        <v>1201.8900000000001</v>
      </c>
    </row>
    <row r="1226" spans="2:7" hidden="1" outlineLevel="2">
      <c r="B1226" s="330" t="s">
        <v>1477</v>
      </c>
      <c r="C1226" s="121" t="s">
        <v>403</v>
      </c>
      <c r="D1226" s="332" t="s">
        <v>43</v>
      </c>
      <c r="E1226" s="332">
        <v>5</v>
      </c>
      <c r="F1226" s="325">
        <v>0.54</v>
      </c>
      <c r="G1226" s="436">
        <f t="shared" si="24"/>
        <v>2.7</v>
      </c>
    </row>
    <row r="1227" spans="2:7" hidden="1" outlineLevel="2">
      <c r="B1227" s="330" t="s">
        <v>1478</v>
      </c>
      <c r="C1227" s="121" t="s">
        <v>404</v>
      </c>
      <c r="D1227" s="332" t="s">
        <v>43</v>
      </c>
      <c r="E1227" s="332">
        <v>7</v>
      </c>
      <c r="F1227" s="325">
        <v>0.81</v>
      </c>
      <c r="G1227" s="436">
        <f t="shared" si="24"/>
        <v>5.67</v>
      </c>
    </row>
    <row r="1228" spans="2:7" hidden="1" outlineLevel="2">
      <c r="B1228" s="330" t="s">
        <v>1479</v>
      </c>
      <c r="C1228" s="121" t="s">
        <v>1482</v>
      </c>
      <c r="D1228" s="332" t="s">
        <v>43</v>
      </c>
      <c r="E1228" s="332">
        <v>4</v>
      </c>
      <c r="F1228" s="325">
        <v>10.82</v>
      </c>
      <c r="G1228" s="436">
        <f t="shared" si="24"/>
        <v>43.28</v>
      </c>
    </row>
    <row r="1229" spans="2:7" hidden="1" outlineLevel="2">
      <c r="B1229" s="330" t="s">
        <v>1480</v>
      </c>
      <c r="C1229" s="121" t="s">
        <v>1029</v>
      </c>
      <c r="D1229" s="332" t="s">
        <v>43</v>
      </c>
      <c r="E1229" s="332">
        <v>2</v>
      </c>
      <c r="F1229" s="325">
        <v>4.0599999999999996</v>
      </c>
      <c r="G1229" s="436">
        <f t="shared" si="24"/>
        <v>8.1199999999999992</v>
      </c>
    </row>
    <row r="1230" spans="2:7" hidden="1" outlineLevel="2">
      <c r="B1230" s="330" t="s">
        <v>1483</v>
      </c>
      <c r="C1230" s="121" t="s">
        <v>1034</v>
      </c>
      <c r="D1230" s="332" t="s">
        <v>43</v>
      </c>
      <c r="E1230" s="332">
        <v>1</v>
      </c>
      <c r="F1230" s="325">
        <v>102.9</v>
      </c>
      <c r="G1230" s="436">
        <f t="shared" si="24"/>
        <v>102.9</v>
      </c>
    </row>
    <row r="1231" spans="2:7" hidden="1" outlineLevel="2">
      <c r="B1231" s="330" t="s">
        <v>1484</v>
      </c>
      <c r="C1231" s="121" t="s">
        <v>408</v>
      </c>
      <c r="D1231" s="332" t="s">
        <v>43</v>
      </c>
      <c r="E1231" s="332">
        <v>1</v>
      </c>
      <c r="F1231" s="325">
        <v>2.2200000000000002</v>
      </c>
      <c r="G1231" s="436">
        <f t="shared" si="24"/>
        <v>2.2200000000000002</v>
      </c>
    </row>
    <row r="1232" spans="2:7" hidden="1" outlineLevel="2">
      <c r="B1232" s="330" t="s">
        <v>1485</v>
      </c>
      <c r="C1232" s="121" t="s">
        <v>410</v>
      </c>
      <c r="D1232" s="332" t="s">
        <v>43</v>
      </c>
      <c r="E1232" s="332">
        <v>1</v>
      </c>
      <c r="F1232" s="325">
        <v>1.67</v>
      </c>
      <c r="G1232" s="436">
        <f t="shared" si="24"/>
        <v>1.67</v>
      </c>
    </row>
    <row r="1233" spans="2:7" hidden="1" outlineLevel="2">
      <c r="B1233" s="330" t="s">
        <v>1486</v>
      </c>
      <c r="C1233" s="121" t="s">
        <v>412</v>
      </c>
      <c r="D1233" s="332" t="s">
        <v>43</v>
      </c>
      <c r="E1233" s="332">
        <v>2</v>
      </c>
      <c r="F1233" s="325">
        <v>0.75</v>
      </c>
      <c r="G1233" s="436">
        <f t="shared" si="24"/>
        <v>1.5</v>
      </c>
    </row>
    <row r="1234" spans="2:7" hidden="1" outlineLevel="2">
      <c r="B1234" s="330" t="s">
        <v>1487</v>
      </c>
      <c r="C1234" s="121" t="s">
        <v>414</v>
      </c>
      <c r="D1234" s="332" t="s">
        <v>43</v>
      </c>
      <c r="E1234" s="332">
        <v>3</v>
      </c>
      <c r="F1234" s="325">
        <v>63.01</v>
      </c>
      <c r="G1234" s="436">
        <f t="shared" si="24"/>
        <v>189.03</v>
      </c>
    </row>
    <row r="1235" spans="2:7" hidden="1" outlineLevel="2">
      <c r="B1235" s="330" t="s">
        <v>1487</v>
      </c>
      <c r="C1235" s="121" t="s">
        <v>416</v>
      </c>
      <c r="D1235" s="332" t="s">
        <v>43</v>
      </c>
      <c r="E1235" s="332">
        <v>1</v>
      </c>
      <c r="F1235" s="325">
        <v>76.180000000000007</v>
      </c>
      <c r="G1235" s="436">
        <f t="shared" si="24"/>
        <v>76.180000000000007</v>
      </c>
    </row>
    <row r="1236" spans="2:7" hidden="1" outlineLevel="2">
      <c r="B1236" s="330" t="s">
        <v>1488</v>
      </c>
      <c r="C1236" s="121" t="s">
        <v>418</v>
      </c>
      <c r="D1236" s="332" t="s">
        <v>43</v>
      </c>
      <c r="E1236" s="332">
        <v>4</v>
      </c>
      <c r="F1236" s="325">
        <v>0.62</v>
      </c>
      <c r="G1236" s="436">
        <f t="shared" si="24"/>
        <v>2.48</v>
      </c>
    </row>
    <row r="1237" spans="2:7" hidden="1" outlineLevel="2">
      <c r="B1237" s="330" t="s">
        <v>1489</v>
      </c>
      <c r="C1237" s="121" t="s">
        <v>422</v>
      </c>
      <c r="D1237" s="332" t="s">
        <v>43</v>
      </c>
      <c r="E1237" s="332">
        <v>6</v>
      </c>
      <c r="F1237" s="325">
        <v>0.62</v>
      </c>
      <c r="G1237" s="436">
        <f t="shared" si="24"/>
        <v>3.72</v>
      </c>
    </row>
    <row r="1238" spans="2:7" hidden="1" outlineLevel="2">
      <c r="B1238" s="330" t="s">
        <v>1490</v>
      </c>
      <c r="C1238" s="121" t="s">
        <v>426</v>
      </c>
      <c r="D1238" s="332" t="s">
        <v>43</v>
      </c>
      <c r="E1238" s="332">
        <v>2</v>
      </c>
      <c r="F1238" s="325">
        <v>3.01</v>
      </c>
      <c r="G1238" s="436">
        <f t="shared" si="24"/>
        <v>6.02</v>
      </c>
    </row>
    <row r="1239" spans="2:7" hidden="1" outlineLevel="2">
      <c r="B1239" s="330" t="s">
        <v>1491</v>
      </c>
      <c r="C1239" s="121" t="s">
        <v>428</v>
      </c>
      <c r="D1239" s="332" t="s">
        <v>43</v>
      </c>
      <c r="E1239" s="332">
        <v>1</v>
      </c>
      <c r="F1239" s="325">
        <v>13.53</v>
      </c>
      <c r="G1239" s="436">
        <f t="shared" si="24"/>
        <v>13.53</v>
      </c>
    </row>
    <row r="1240" spans="2:7" hidden="1" outlineLevel="2">
      <c r="B1240" s="330" t="s">
        <v>1492</v>
      </c>
      <c r="C1240" s="121" t="s">
        <v>430</v>
      </c>
      <c r="D1240" s="332" t="s">
        <v>43</v>
      </c>
      <c r="E1240" s="332">
        <v>7</v>
      </c>
      <c r="F1240" s="325">
        <v>109.98</v>
      </c>
      <c r="G1240" s="436">
        <f t="shared" si="24"/>
        <v>769.86</v>
      </c>
    </row>
    <row r="1241" spans="2:7" hidden="1" outlineLevel="2">
      <c r="B1241" s="330" t="s">
        <v>1493</v>
      </c>
      <c r="C1241" s="121" t="s">
        <v>432</v>
      </c>
      <c r="D1241" s="332" t="s">
        <v>43</v>
      </c>
      <c r="E1241" s="332">
        <v>8</v>
      </c>
      <c r="F1241" s="325">
        <v>1.57</v>
      </c>
      <c r="G1241" s="436">
        <f t="shared" si="24"/>
        <v>12.56</v>
      </c>
    </row>
    <row r="1242" spans="2:7" hidden="1" outlineLevel="2">
      <c r="B1242" s="330" t="s">
        <v>1494</v>
      </c>
      <c r="C1242" s="121" t="s">
        <v>434</v>
      </c>
      <c r="D1242" s="332" t="s">
        <v>43</v>
      </c>
      <c r="E1242" s="332">
        <v>3</v>
      </c>
      <c r="F1242" s="325">
        <v>5.8</v>
      </c>
      <c r="G1242" s="436">
        <f t="shared" si="24"/>
        <v>17.399999999999999</v>
      </c>
    </row>
    <row r="1243" spans="2:7" hidden="1" outlineLevel="2">
      <c r="B1243" s="330" t="s">
        <v>1495</v>
      </c>
      <c r="C1243" s="121" t="s">
        <v>436</v>
      </c>
      <c r="D1243" s="332" t="s">
        <v>43</v>
      </c>
      <c r="E1243" s="332">
        <v>2</v>
      </c>
      <c r="F1243" s="325">
        <v>379.78</v>
      </c>
      <c r="G1243" s="436">
        <f t="shared" si="24"/>
        <v>759.56</v>
      </c>
    </row>
    <row r="1244" spans="2:7" hidden="1" outlineLevel="2">
      <c r="B1244" s="330" t="s">
        <v>1496</v>
      </c>
      <c r="C1244" s="121" t="s">
        <v>438</v>
      </c>
      <c r="D1244" s="332" t="s">
        <v>43</v>
      </c>
      <c r="E1244" s="332">
        <v>3</v>
      </c>
      <c r="F1244" s="325">
        <v>3.17</v>
      </c>
      <c r="G1244" s="436">
        <f t="shared" si="24"/>
        <v>9.51</v>
      </c>
    </row>
    <row r="1245" spans="2:7" hidden="1" outlineLevel="2">
      <c r="B1245" s="330" t="s">
        <v>1497</v>
      </c>
      <c r="C1245" s="121" t="s">
        <v>440</v>
      </c>
      <c r="D1245" s="332" t="s">
        <v>441</v>
      </c>
      <c r="E1245" s="332">
        <v>2</v>
      </c>
      <c r="F1245" s="325">
        <v>66.98</v>
      </c>
      <c r="G1245" s="436">
        <f t="shared" si="24"/>
        <v>133.96</v>
      </c>
    </row>
    <row r="1246" spans="2:7" hidden="1" outlineLevel="2">
      <c r="B1246" s="330" t="s">
        <v>1498</v>
      </c>
      <c r="C1246" s="121" t="s">
        <v>443</v>
      </c>
      <c r="D1246" s="332" t="s">
        <v>441</v>
      </c>
      <c r="E1246" s="332">
        <v>1</v>
      </c>
      <c r="F1246" s="325">
        <v>87.63</v>
      </c>
      <c r="G1246" s="436">
        <f t="shared" si="24"/>
        <v>87.63</v>
      </c>
    </row>
    <row r="1247" spans="2:7" hidden="1" outlineLevel="2">
      <c r="B1247" s="330" t="s">
        <v>1499</v>
      </c>
      <c r="C1247" s="121" t="s">
        <v>445</v>
      </c>
      <c r="D1247" s="332" t="s">
        <v>43</v>
      </c>
      <c r="E1247" s="332">
        <v>1</v>
      </c>
      <c r="F1247" s="325">
        <v>12.36</v>
      </c>
      <c r="G1247" s="436">
        <f t="shared" si="24"/>
        <v>12.36</v>
      </c>
    </row>
    <row r="1248" spans="2:7" hidden="1" outlineLevel="2">
      <c r="B1248" s="330" t="s">
        <v>1500</v>
      </c>
      <c r="C1248" s="121" t="s">
        <v>447</v>
      </c>
      <c r="D1248" s="332" t="s">
        <v>43</v>
      </c>
      <c r="E1248" s="332">
        <v>2</v>
      </c>
      <c r="F1248" s="325">
        <v>268.48</v>
      </c>
      <c r="G1248" s="436">
        <f t="shared" si="24"/>
        <v>536.96</v>
      </c>
    </row>
    <row r="1249" spans="2:7" hidden="1" outlineLevel="2">
      <c r="B1249" s="330" t="s">
        <v>1501</v>
      </c>
      <c r="C1249" s="121" t="s">
        <v>1502</v>
      </c>
      <c r="D1249" s="332" t="s">
        <v>43</v>
      </c>
      <c r="E1249" s="332">
        <v>4</v>
      </c>
      <c r="F1249" s="325">
        <v>403.51</v>
      </c>
      <c r="G1249" s="436">
        <f t="shared" si="24"/>
        <v>1614.04</v>
      </c>
    </row>
    <row r="1250" spans="2:7" hidden="1" outlineLevel="2">
      <c r="B1250" s="330" t="s">
        <v>1503</v>
      </c>
      <c r="C1250" s="121" t="s">
        <v>449</v>
      </c>
      <c r="D1250" s="332" t="s">
        <v>43</v>
      </c>
      <c r="E1250" s="332">
        <v>50</v>
      </c>
      <c r="F1250" s="325">
        <v>7.16</v>
      </c>
      <c r="G1250" s="436">
        <f t="shared" si="24"/>
        <v>358</v>
      </c>
    </row>
    <row r="1251" spans="2:7" hidden="1" outlineLevel="1">
      <c r="B1251" s="331">
        <v>1.07</v>
      </c>
      <c r="C1251" s="324" t="s">
        <v>1504</v>
      </c>
      <c r="D1251" s="332"/>
      <c r="E1251" s="332"/>
      <c r="F1251" s="325"/>
      <c r="G1251" s="435">
        <f>+SUBTOTAL(9,G1252:G1316)</f>
        <v>63659.290000000008</v>
      </c>
    </row>
    <row r="1252" spans="2:7" hidden="1" outlineLevel="1" collapsed="1">
      <c r="B1252" s="331" t="s">
        <v>1505</v>
      </c>
      <c r="C1252" s="324" t="s">
        <v>195</v>
      </c>
      <c r="D1252" s="332"/>
      <c r="E1252" s="332"/>
      <c r="F1252" s="325"/>
      <c r="G1252" s="435">
        <f>+SUBTOTAL(9,G1253:G1316)</f>
        <v>63659.290000000008</v>
      </c>
    </row>
    <row r="1253" spans="2:7" hidden="1" outlineLevel="2">
      <c r="B1253" s="331" t="s">
        <v>1506</v>
      </c>
      <c r="C1253" s="324" t="s">
        <v>54</v>
      </c>
      <c r="D1253" s="332"/>
      <c r="E1253" s="332"/>
      <c r="F1253" s="325"/>
      <c r="G1253" s="435">
        <f>+SUBTOTAL(9,G1254:G1255)</f>
        <v>3270.5699999999997</v>
      </c>
    </row>
    <row r="1254" spans="2:7" hidden="1" outlineLevel="2">
      <c r="B1254" s="330" t="s">
        <v>1507</v>
      </c>
      <c r="C1254" s="121" t="s">
        <v>56</v>
      </c>
      <c r="D1254" s="332" t="s">
        <v>57</v>
      </c>
      <c r="E1254" s="332">
        <v>24.6</v>
      </c>
      <c r="F1254" s="325">
        <v>68.64</v>
      </c>
      <c r="G1254" s="436">
        <f>ROUND(E1254*F1254,2)</f>
        <v>1688.54</v>
      </c>
    </row>
    <row r="1255" spans="2:7" hidden="1" outlineLevel="2">
      <c r="B1255" s="330" t="s">
        <v>1508</v>
      </c>
      <c r="C1255" s="121" t="s">
        <v>199</v>
      </c>
      <c r="D1255" s="332" t="s">
        <v>57</v>
      </c>
      <c r="E1255" s="332">
        <v>24.6</v>
      </c>
      <c r="F1255" s="325">
        <v>64.31</v>
      </c>
      <c r="G1255" s="436">
        <f>ROUND(E1255*F1255,2)</f>
        <v>1582.03</v>
      </c>
    </row>
    <row r="1256" spans="2:7" hidden="1" outlineLevel="2">
      <c r="B1256" s="331" t="s">
        <v>1509</v>
      </c>
      <c r="C1256" s="324" t="s">
        <v>66</v>
      </c>
      <c r="D1256" s="332"/>
      <c r="E1256" s="332"/>
      <c r="F1256" s="325"/>
      <c r="G1256" s="435">
        <f>+SUBTOTAL(9,G1257:G1260)</f>
        <v>5775.57</v>
      </c>
    </row>
    <row r="1257" spans="2:7" hidden="1" outlineLevel="2">
      <c r="B1257" s="330" t="s">
        <v>1510</v>
      </c>
      <c r="C1257" s="121" t="s">
        <v>71</v>
      </c>
      <c r="D1257" s="332" t="s">
        <v>69</v>
      </c>
      <c r="E1257" s="332">
        <v>16.350000000000001</v>
      </c>
      <c r="F1257" s="325">
        <v>294</v>
      </c>
      <c r="G1257" s="436">
        <f>ROUND(E1257*F1257,2)</f>
        <v>4806.8999999999996</v>
      </c>
    </row>
    <row r="1258" spans="2:7" hidden="1" outlineLevel="2">
      <c r="B1258" s="330" t="s">
        <v>1511</v>
      </c>
      <c r="C1258" s="121" t="s">
        <v>73</v>
      </c>
      <c r="D1258" s="332" t="s">
        <v>57</v>
      </c>
      <c r="E1258" s="332">
        <v>31.7</v>
      </c>
      <c r="F1258" s="325">
        <v>14.12</v>
      </c>
      <c r="G1258" s="436">
        <f>ROUND(E1258*F1258,2)</f>
        <v>447.6</v>
      </c>
    </row>
    <row r="1259" spans="2:7" hidden="1" outlineLevel="2">
      <c r="B1259" s="330" t="s">
        <v>1512</v>
      </c>
      <c r="C1259" s="121" t="s">
        <v>75</v>
      </c>
      <c r="D1259" s="332" t="s">
        <v>69</v>
      </c>
      <c r="E1259" s="332">
        <v>3.08</v>
      </c>
      <c r="F1259" s="325">
        <v>96.56</v>
      </c>
      <c r="G1259" s="436">
        <f>ROUND(E1259*F1259,2)</f>
        <v>297.39999999999998</v>
      </c>
    </row>
    <row r="1260" spans="2:7" hidden="1" outlineLevel="2">
      <c r="B1260" s="330" t="s">
        <v>1513</v>
      </c>
      <c r="C1260" s="121" t="s">
        <v>77</v>
      </c>
      <c r="D1260" s="332" t="s">
        <v>69</v>
      </c>
      <c r="E1260" s="332">
        <v>16.350000000000001</v>
      </c>
      <c r="F1260" s="325">
        <v>13.68</v>
      </c>
      <c r="G1260" s="436">
        <f>ROUND(E1260*F1260,2)</f>
        <v>223.67</v>
      </c>
    </row>
    <row r="1261" spans="2:7" hidden="1" outlineLevel="2">
      <c r="B1261" s="331" t="s">
        <v>1514</v>
      </c>
      <c r="C1261" s="324" t="s">
        <v>79</v>
      </c>
      <c r="D1261" s="332"/>
      <c r="E1261" s="332"/>
      <c r="F1261" s="325"/>
      <c r="G1261" s="435">
        <f>+SUBTOTAL(9,G1262:G1265)</f>
        <v>1984.46</v>
      </c>
    </row>
    <row r="1262" spans="2:7" hidden="1" outlineLevel="2">
      <c r="B1262" s="330" t="s">
        <v>1515</v>
      </c>
      <c r="C1262" s="121" t="s">
        <v>81</v>
      </c>
      <c r="D1262" s="332" t="s">
        <v>69</v>
      </c>
      <c r="E1262" s="332">
        <v>2.48</v>
      </c>
      <c r="F1262" s="325">
        <v>398.62</v>
      </c>
      <c r="G1262" s="436">
        <f>ROUND(E1262*F1262,2)</f>
        <v>988.58</v>
      </c>
    </row>
    <row r="1263" spans="2:7" hidden="1" outlineLevel="2">
      <c r="B1263" s="330" t="s">
        <v>1516</v>
      </c>
      <c r="C1263" s="121" t="s">
        <v>208</v>
      </c>
      <c r="D1263" s="332" t="s">
        <v>69</v>
      </c>
      <c r="E1263" s="332">
        <v>2.34</v>
      </c>
      <c r="F1263" s="325">
        <v>372.28</v>
      </c>
      <c r="G1263" s="436">
        <f>ROUND(E1263*F1263,2)</f>
        <v>871.14</v>
      </c>
    </row>
    <row r="1264" spans="2:7" hidden="1" outlineLevel="2">
      <c r="B1264" s="330" t="s">
        <v>1517</v>
      </c>
      <c r="C1264" s="121" t="s">
        <v>210</v>
      </c>
      <c r="D1264" s="332" t="s">
        <v>69</v>
      </c>
      <c r="E1264" s="332">
        <v>0.1</v>
      </c>
      <c r="F1264" s="325">
        <v>482.43</v>
      </c>
      <c r="G1264" s="436">
        <f>ROUND(E1264*F1264,2)</f>
        <v>48.24</v>
      </c>
    </row>
    <row r="1265" spans="2:7" hidden="1" outlineLevel="2">
      <c r="B1265" s="330" t="s">
        <v>1518</v>
      </c>
      <c r="C1265" s="121" t="s">
        <v>212</v>
      </c>
      <c r="D1265" s="332" t="s">
        <v>57</v>
      </c>
      <c r="E1265" s="332">
        <v>1.7</v>
      </c>
      <c r="F1265" s="325">
        <v>45</v>
      </c>
      <c r="G1265" s="436">
        <f>ROUND(E1265*F1265,2)</f>
        <v>76.5</v>
      </c>
    </row>
    <row r="1266" spans="2:7" hidden="1" outlineLevel="2">
      <c r="B1266" s="331" t="s">
        <v>1519</v>
      </c>
      <c r="C1266" s="324" t="s">
        <v>85</v>
      </c>
      <c r="D1266" s="332"/>
      <c r="E1266" s="332"/>
      <c r="F1266" s="325"/>
      <c r="G1266" s="435">
        <f>+SUBTOTAL(9,G1267:G1288)</f>
        <v>31289.69</v>
      </c>
    </row>
    <row r="1267" spans="2:7" hidden="1" outlineLevel="2">
      <c r="B1267" s="331" t="s">
        <v>1520</v>
      </c>
      <c r="C1267" s="324" t="s">
        <v>974</v>
      </c>
      <c r="D1267" s="332"/>
      <c r="E1267" s="332"/>
      <c r="F1267" s="325"/>
      <c r="G1267" s="435">
        <f>+SUBTOTAL(9,G1268:G1269)</f>
        <v>2049.4299999999998</v>
      </c>
    </row>
    <row r="1268" spans="2:7" hidden="1" outlineLevel="2">
      <c r="B1268" s="330" t="s">
        <v>1521</v>
      </c>
      <c r="C1268" s="121" t="s">
        <v>1080</v>
      </c>
      <c r="D1268" s="332" t="s">
        <v>69</v>
      </c>
      <c r="E1268" s="332">
        <v>3.03</v>
      </c>
      <c r="F1268" s="325">
        <v>485.32</v>
      </c>
      <c r="G1268" s="436">
        <f>ROUND(E1268*F1268,2)</f>
        <v>1470.52</v>
      </c>
    </row>
    <row r="1269" spans="2:7" hidden="1" outlineLevel="2">
      <c r="B1269" s="330" t="s">
        <v>1522</v>
      </c>
      <c r="C1269" s="121" t="s">
        <v>93</v>
      </c>
      <c r="D1269" s="332" t="s">
        <v>94</v>
      </c>
      <c r="E1269" s="332">
        <v>78.55</v>
      </c>
      <c r="F1269" s="325">
        <v>7.37</v>
      </c>
      <c r="G1269" s="436">
        <f>ROUND(E1269*F1269,2)</f>
        <v>578.91</v>
      </c>
    </row>
    <row r="1270" spans="2:7" hidden="1" outlineLevel="2">
      <c r="B1270" s="331" t="s">
        <v>1523</v>
      </c>
      <c r="C1270" s="324" t="s">
        <v>96</v>
      </c>
      <c r="D1270" s="332"/>
      <c r="E1270" s="332"/>
      <c r="F1270" s="325"/>
      <c r="G1270" s="435">
        <f>+SUBTOTAL(9,G1271:G1272)</f>
        <v>2522.15</v>
      </c>
    </row>
    <row r="1271" spans="2:7" hidden="1" outlineLevel="2">
      <c r="B1271" s="330" t="s">
        <v>1524</v>
      </c>
      <c r="C1271" s="121" t="s">
        <v>224</v>
      </c>
      <c r="D1271" s="332" t="s">
        <v>69</v>
      </c>
      <c r="E1271" s="332">
        <v>3.26</v>
      </c>
      <c r="F1271" s="325">
        <v>417.1</v>
      </c>
      <c r="G1271" s="436">
        <f>ROUND(E1271*F1271,2)</f>
        <v>1359.75</v>
      </c>
    </row>
    <row r="1272" spans="2:7" hidden="1" outlineLevel="2">
      <c r="B1272" s="330" t="s">
        <v>1525</v>
      </c>
      <c r="C1272" s="121" t="s">
        <v>100</v>
      </c>
      <c r="D1272" s="332" t="s">
        <v>94</v>
      </c>
      <c r="E1272" s="332">
        <v>157.72</v>
      </c>
      <c r="F1272" s="325">
        <v>7.37</v>
      </c>
      <c r="G1272" s="436">
        <f>ROUND(E1272*F1272,2)</f>
        <v>1162.4000000000001</v>
      </c>
    </row>
    <row r="1273" spans="2:7" hidden="1" outlineLevel="2">
      <c r="B1273" s="331" t="s">
        <v>1526</v>
      </c>
      <c r="C1273" s="324" t="s">
        <v>227</v>
      </c>
      <c r="D1273" s="332"/>
      <c r="E1273" s="332"/>
      <c r="F1273" s="325"/>
      <c r="G1273" s="435">
        <f>+SUBTOTAL(9,G1274:G1276)</f>
        <v>7066.34</v>
      </c>
    </row>
    <row r="1274" spans="2:7" hidden="1" outlineLevel="2">
      <c r="B1274" s="330" t="s">
        <v>1527</v>
      </c>
      <c r="C1274" s="121" t="s">
        <v>1084</v>
      </c>
      <c r="D1274" s="332" t="s">
        <v>69</v>
      </c>
      <c r="E1274" s="332">
        <v>2.66</v>
      </c>
      <c r="F1274" s="325">
        <v>618.65</v>
      </c>
      <c r="G1274" s="436">
        <f>ROUND(E1274*F1274,2)</f>
        <v>1645.61</v>
      </c>
    </row>
    <row r="1275" spans="2:7" hidden="1" outlineLevel="2">
      <c r="B1275" s="330" t="s">
        <v>1528</v>
      </c>
      <c r="C1275" s="121" t="s">
        <v>231</v>
      </c>
      <c r="D1275" s="332" t="s">
        <v>57</v>
      </c>
      <c r="E1275" s="332">
        <v>33.57</v>
      </c>
      <c r="F1275" s="325">
        <v>65.900000000000006</v>
      </c>
      <c r="G1275" s="436">
        <f>ROUND(E1275*F1275,2)</f>
        <v>2212.2600000000002</v>
      </c>
    </row>
    <row r="1276" spans="2:7" hidden="1" outlineLevel="2">
      <c r="B1276" s="330" t="s">
        <v>1529</v>
      </c>
      <c r="C1276" s="121" t="s">
        <v>233</v>
      </c>
      <c r="D1276" s="332" t="s">
        <v>94</v>
      </c>
      <c r="E1276" s="332">
        <v>428.94</v>
      </c>
      <c r="F1276" s="325">
        <v>7.48</v>
      </c>
      <c r="G1276" s="436">
        <f>ROUND(E1276*F1276,2)</f>
        <v>3208.47</v>
      </c>
    </row>
    <row r="1277" spans="2:7" hidden="1" outlineLevel="2">
      <c r="B1277" s="331" t="s">
        <v>1530</v>
      </c>
      <c r="C1277" s="324" t="s">
        <v>235</v>
      </c>
      <c r="D1277" s="332"/>
      <c r="E1277" s="332"/>
      <c r="F1277" s="325"/>
      <c r="G1277" s="435">
        <f>+SUBTOTAL(9,G1278:G1280)</f>
        <v>8157.1399999999994</v>
      </c>
    </row>
    <row r="1278" spans="2:7" hidden="1" outlineLevel="2">
      <c r="B1278" s="330" t="s">
        <v>1531</v>
      </c>
      <c r="C1278" s="121" t="s">
        <v>469</v>
      </c>
      <c r="D1278" s="332" t="s">
        <v>69</v>
      </c>
      <c r="E1278" s="332">
        <v>4.41</v>
      </c>
      <c r="F1278" s="325">
        <v>618.65</v>
      </c>
      <c r="G1278" s="436">
        <f>ROUND(E1278*F1278,2)</f>
        <v>2728.25</v>
      </c>
    </row>
    <row r="1279" spans="2:7" hidden="1" outlineLevel="2">
      <c r="B1279" s="330" t="s">
        <v>1532</v>
      </c>
      <c r="C1279" s="121" t="s">
        <v>106</v>
      </c>
      <c r="D1279" s="332" t="s">
        <v>57</v>
      </c>
      <c r="E1279" s="332">
        <v>58.82</v>
      </c>
      <c r="F1279" s="325">
        <v>64.8</v>
      </c>
      <c r="G1279" s="436">
        <f>ROUND(E1279*F1279,2)</f>
        <v>3811.54</v>
      </c>
    </row>
    <row r="1280" spans="2:7" hidden="1" outlineLevel="2">
      <c r="B1280" s="330" t="s">
        <v>1533</v>
      </c>
      <c r="C1280" s="121" t="s">
        <v>108</v>
      </c>
      <c r="D1280" s="332" t="s">
        <v>94</v>
      </c>
      <c r="E1280" s="332">
        <v>215.36</v>
      </c>
      <c r="F1280" s="325">
        <v>7.51</v>
      </c>
      <c r="G1280" s="436">
        <f>ROUND(E1280*F1280,2)</f>
        <v>1617.35</v>
      </c>
    </row>
    <row r="1281" spans="2:7" hidden="1" outlineLevel="2">
      <c r="B1281" s="331" t="s">
        <v>1534</v>
      </c>
      <c r="C1281" s="324" t="s">
        <v>241</v>
      </c>
      <c r="D1281" s="332"/>
      <c r="E1281" s="332"/>
      <c r="F1281" s="325"/>
      <c r="G1281" s="435">
        <f>+SUBTOTAL(9,G1282:G1284)</f>
        <v>5813.24</v>
      </c>
    </row>
    <row r="1282" spans="2:7" hidden="1" outlineLevel="2">
      <c r="B1282" s="330" t="s">
        <v>1535</v>
      </c>
      <c r="C1282" s="121" t="s">
        <v>1089</v>
      </c>
      <c r="D1282" s="332" t="s">
        <v>69</v>
      </c>
      <c r="E1282" s="332">
        <v>2.41</v>
      </c>
      <c r="F1282" s="325">
        <v>563.16999999999996</v>
      </c>
      <c r="G1282" s="436">
        <f>ROUND(E1282*F1282,2)</f>
        <v>1357.24</v>
      </c>
    </row>
    <row r="1283" spans="2:7" hidden="1" outlineLevel="2">
      <c r="B1283" s="330" t="s">
        <v>1536</v>
      </c>
      <c r="C1283" s="121" t="s">
        <v>122</v>
      </c>
      <c r="D1283" s="332" t="s">
        <v>57</v>
      </c>
      <c r="E1283" s="332">
        <v>16</v>
      </c>
      <c r="F1283" s="325">
        <v>75.39</v>
      </c>
      <c r="G1283" s="436">
        <f>ROUND(E1283*F1283,2)</f>
        <v>1206.24</v>
      </c>
    </row>
    <row r="1284" spans="2:7" hidden="1" outlineLevel="2">
      <c r="B1284" s="330" t="s">
        <v>1537</v>
      </c>
      <c r="C1284" s="121" t="s">
        <v>336</v>
      </c>
      <c r="D1284" s="332" t="s">
        <v>94</v>
      </c>
      <c r="E1284" s="332">
        <v>434.46</v>
      </c>
      <c r="F1284" s="325">
        <v>7.48</v>
      </c>
      <c r="G1284" s="436">
        <f>ROUND(E1284*F1284,2)</f>
        <v>3249.76</v>
      </c>
    </row>
    <row r="1285" spans="2:7" hidden="1" outlineLevel="2">
      <c r="B1285" s="331" t="s">
        <v>1538</v>
      </c>
      <c r="C1285" s="324" t="s">
        <v>695</v>
      </c>
      <c r="D1285" s="332"/>
      <c r="E1285" s="332"/>
      <c r="F1285" s="325"/>
      <c r="G1285" s="435">
        <f>+SUBTOTAL(9,G1286:G1288)</f>
        <v>5681.3899999999994</v>
      </c>
    </row>
    <row r="1286" spans="2:7" hidden="1" outlineLevel="2">
      <c r="B1286" s="330" t="s">
        <v>1539</v>
      </c>
      <c r="C1286" s="121" t="s">
        <v>507</v>
      </c>
      <c r="D1286" s="332" t="s">
        <v>69</v>
      </c>
      <c r="E1286" s="332">
        <v>3.98</v>
      </c>
      <c r="F1286" s="325">
        <v>563.16999999999996</v>
      </c>
      <c r="G1286" s="436">
        <f>ROUND(E1286*F1286,2)</f>
        <v>2241.42</v>
      </c>
    </row>
    <row r="1287" spans="2:7" hidden="1" outlineLevel="2">
      <c r="B1287" s="330" t="s">
        <v>1540</v>
      </c>
      <c r="C1287" s="121" t="s">
        <v>252</v>
      </c>
      <c r="D1287" s="332" t="s">
        <v>57</v>
      </c>
      <c r="E1287" s="332">
        <v>30</v>
      </c>
      <c r="F1287" s="325">
        <v>60.67</v>
      </c>
      <c r="G1287" s="436">
        <f>ROUND(E1287*F1287,2)</f>
        <v>1820.1</v>
      </c>
    </row>
    <row r="1288" spans="2:7" hidden="1" outlineLevel="2">
      <c r="B1288" s="330" t="s">
        <v>1541</v>
      </c>
      <c r="C1288" s="121" t="s">
        <v>254</v>
      </c>
      <c r="D1288" s="332" t="s">
        <v>94</v>
      </c>
      <c r="E1288" s="332">
        <v>216.56</v>
      </c>
      <c r="F1288" s="325">
        <v>7.48</v>
      </c>
      <c r="G1288" s="436">
        <f>ROUND(E1288*F1288,2)</f>
        <v>1619.87</v>
      </c>
    </row>
    <row r="1289" spans="2:7" hidden="1" outlineLevel="2">
      <c r="B1289" s="331" t="s">
        <v>1542</v>
      </c>
      <c r="C1289" s="324" t="s">
        <v>134</v>
      </c>
      <c r="D1289" s="332"/>
      <c r="E1289" s="332"/>
      <c r="F1289" s="325"/>
      <c r="G1289" s="435">
        <f>+SUBTOTAL(9,G1290:G1301)</f>
        <v>8336.0999999999985</v>
      </c>
    </row>
    <row r="1290" spans="2:7" ht="30" hidden="1" outlineLevel="2">
      <c r="B1290" s="330" t="s">
        <v>1543</v>
      </c>
      <c r="C1290" s="121" t="s">
        <v>257</v>
      </c>
      <c r="D1290" s="332" t="s">
        <v>57</v>
      </c>
      <c r="E1290" s="332">
        <v>47.7</v>
      </c>
      <c r="F1290" s="325">
        <v>27.37</v>
      </c>
      <c r="G1290" s="436">
        <f t="shared" ref="G1290:G1301" si="25">ROUND(E1290*F1290,2)</f>
        <v>1305.55</v>
      </c>
    </row>
    <row r="1291" spans="2:7" ht="30" hidden="1" outlineLevel="2">
      <c r="B1291" s="330" t="s">
        <v>1544</v>
      </c>
      <c r="C1291" s="121" t="s">
        <v>259</v>
      </c>
      <c r="D1291" s="332" t="s">
        <v>57</v>
      </c>
      <c r="E1291" s="332">
        <v>47.7</v>
      </c>
      <c r="F1291" s="325">
        <v>27.37</v>
      </c>
      <c r="G1291" s="436">
        <f t="shared" si="25"/>
        <v>1305.55</v>
      </c>
    </row>
    <row r="1292" spans="2:7" ht="30" hidden="1" outlineLevel="2">
      <c r="B1292" s="330" t="s">
        <v>1545</v>
      </c>
      <c r="C1292" s="121" t="s">
        <v>261</v>
      </c>
      <c r="D1292" s="332" t="s">
        <v>57</v>
      </c>
      <c r="E1292" s="332">
        <v>45.6</v>
      </c>
      <c r="F1292" s="325">
        <v>27.37</v>
      </c>
      <c r="G1292" s="436">
        <f t="shared" si="25"/>
        <v>1248.07</v>
      </c>
    </row>
    <row r="1293" spans="2:7" ht="30" hidden="1" outlineLevel="2">
      <c r="B1293" s="330" t="s">
        <v>1546</v>
      </c>
      <c r="C1293" s="121" t="s">
        <v>263</v>
      </c>
      <c r="D1293" s="332" t="s">
        <v>57</v>
      </c>
      <c r="E1293" s="332">
        <v>45.6</v>
      </c>
      <c r="F1293" s="325">
        <v>27.37</v>
      </c>
      <c r="G1293" s="436">
        <f t="shared" si="25"/>
        <v>1248.07</v>
      </c>
    </row>
    <row r="1294" spans="2:7" ht="30" hidden="1" outlineLevel="2">
      <c r="B1294" s="330" t="s">
        <v>1547</v>
      </c>
      <c r="C1294" s="121" t="s">
        <v>265</v>
      </c>
      <c r="D1294" s="332" t="s">
        <v>57</v>
      </c>
      <c r="E1294" s="332">
        <v>30</v>
      </c>
      <c r="F1294" s="325">
        <v>27.37</v>
      </c>
      <c r="G1294" s="436">
        <f t="shared" si="25"/>
        <v>821.1</v>
      </c>
    </row>
    <row r="1295" spans="2:7" ht="30" hidden="1" outlineLevel="2">
      <c r="B1295" s="330" t="s">
        <v>1548</v>
      </c>
      <c r="C1295" s="121" t="s">
        <v>267</v>
      </c>
      <c r="D1295" s="332" t="s">
        <v>57</v>
      </c>
      <c r="E1295" s="332">
        <v>26.54</v>
      </c>
      <c r="F1295" s="325">
        <v>27.37</v>
      </c>
      <c r="G1295" s="436">
        <f t="shared" si="25"/>
        <v>726.4</v>
      </c>
    </row>
    <row r="1296" spans="2:7" ht="30" hidden="1" outlineLevel="2">
      <c r="B1296" s="330" t="s">
        <v>1549</v>
      </c>
      <c r="C1296" s="121" t="s">
        <v>269</v>
      </c>
      <c r="D1296" s="332" t="s">
        <v>57</v>
      </c>
      <c r="E1296" s="332">
        <v>3.46</v>
      </c>
      <c r="F1296" s="325">
        <v>27.37</v>
      </c>
      <c r="G1296" s="436">
        <f t="shared" si="25"/>
        <v>94.7</v>
      </c>
    </row>
    <row r="1297" spans="2:7" ht="30" hidden="1" outlineLevel="2">
      <c r="B1297" s="330" t="s">
        <v>1550</v>
      </c>
      <c r="C1297" s="121" t="s">
        <v>271</v>
      </c>
      <c r="D1297" s="332" t="s">
        <v>57</v>
      </c>
      <c r="E1297" s="332">
        <v>3.46</v>
      </c>
      <c r="F1297" s="325">
        <v>27.37</v>
      </c>
      <c r="G1297" s="436">
        <f t="shared" si="25"/>
        <v>94.7</v>
      </c>
    </row>
    <row r="1298" spans="2:7" ht="30" hidden="1" outlineLevel="2">
      <c r="B1298" s="330" t="s">
        <v>1551</v>
      </c>
      <c r="C1298" s="121" t="s">
        <v>273</v>
      </c>
      <c r="D1298" s="332" t="s">
        <v>57</v>
      </c>
      <c r="E1298" s="332">
        <v>0.79</v>
      </c>
      <c r="F1298" s="325">
        <v>27.37</v>
      </c>
      <c r="G1298" s="436">
        <f t="shared" si="25"/>
        <v>21.62</v>
      </c>
    </row>
    <row r="1299" spans="2:7" ht="30" hidden="1" outlineLevel="2">
      <c r="B1299" s="330" t="s">
        <v>1552</v>
      </c>
      <c r="C1299" s="121" t="s">
        <v>275</v>
      </c>
      <c r="D1299" s="332" t="s">
        <v>57</v>
      </c>
      <c r="E1299" s="332">
        <v>0.79</v>
      </c>
      <c r="F1299" s="325">
        <v>27.37</v>
      </c>
      <c r="G1299" s="436">
        <f t="shared" si="25"/>
        <v>21.62</v>
      </c>
    </row>
    <row r="1300" spans="2:7" hidden="1" outlineLevel="2">
      <c r="B1300" s="330" t="s">
        <v>1553</v>
      </c>
      <c r="C1300" s="121" t="s">
        <v>277</v>
      </c>
      <c r="D1300" s="332" t="s">
        <v>64</v>
      </c>
      <c r="E1300" s="332">
        <v>35.340000000000003</v>
      </c>
      <c r="F1300" s="325">
        <v>17.440000000000001</v>
      </c>
      <c r="G1300" s="436">
        <f t="shared" si="25"/>
        <v>616.33000000000004</v>
      </c>
    </row>
    <row r="1301" spans="2:7" hidden="1" outlineLevel="2">
      <c r="B1301" s="330" t="s">
        <v>1554</v>
      </c>
      <c r="C1301" s="121" t="s">
        <v>156</v>
      </c>
      <c r="D1301" s="332" t="s">
        <v>57</v>
      </c>
      <c r="E1301" s="332">
        <v>194.94</v>
      </c>
      <c r="F1301" s="325">
        <v>4.2699999999999996</v>
      </c>
      <c r="G1301" s="436">
        <f t="shared" si="25"/>
        <v>832.39</v>
      </c>
    </row>
    <row r="1302" spans="2:7" hidden="1" outlineLevel="2">
      <c r="B1302" s="331" t="s">
        <v>1555</v>
      </c>
      <c r="C1302" s="324" t="s">
        <v>158</v>
      </c>
      <c r="D1302" s="332"/>
      <c r="E1302" s="332"/>
      <c r="F1302" s="325"/>
      <c r="G1302" s="435">
        <f>+SUBTOTAL(9,G1303:G1304)</f>
        <v>2195.35</v>
      </c>
    </row>
    <row r="1303" spans="2:7" hidden="1" outlineLevel="2">
      <c r="B1303" s="330" t="s">
        <v>1556</v>
      </c>
      <c r="C1303" s="121" t="s">
        <v>1107</v>
      </c>
      <c r="D1303" s="332" t="s">
        <v>57</v>
      </c>
      <c r="E1303" s="332">
        <v>21.74</v>
      </c>
      <c r="F1303" s="325">
        <v>25.81</v>
      </c>
      <c r="G1303" s="436">
        <f>ROUND(E1303*F1303,2)</f>
        <v>561.11</v>
      </c>
    </row>
    <row r="1304" spans="2:7" hidden="1" outlineLevel="2">
      <c r="B1304" s="330" t="s">
        <v>1557</v>
      </c>
      <c r="C1304" s="121" t="s">
        <v>160</v>
      </c>
      <c r="D1304" s="332" t="s">
        <v>57</v>
      </c>
      <c r="E1304" s="332">
        <v>24.45</v>
      </c>
      <c r="F1304" s="325">
        <v>66.84</v>
      </c>
      <c r="G1304" s="436">
        <f>ROUND(E1304*F1304,2)</f>
        <v>1634.24</v>
      </c>
    </row>
    <row r="1305" spans="2:7" hidden="1" outlineLevel="2">
      <c r="B1305" s="331" t="s">
        <v>1558</v>
      </c>
      <c r="C1305" s="324" t="s">
        <v>162</v>
      </c>
      <c r="D1305" s="332"/>
      <c r="E1305" s="332"/>
      <c r="F1305" s="325"/>
      <c r="G1305" s="435">
        <f>+SUBTOTAL(9,G1306:G1307)</f>
        <v>7828.55</v>
      </c>
    </row>
    <row r="1306" spans="2:7" hidden="1" outlineLevel="2">
      <c r="B1306" s="330" t="s">
        <v>1559</v>
      </c>
      <c r="C1306" s="121" t="s">
        <v>286</v>
      </c>
      <c r="D1306" s="332" t="s">
        <v>287</v>
      </c>
      <c r="E1306" s="332">
        <v>1</v>
      </c>
      <c r="F1306" s="325">
        <v>3753</v>
      </c>
      <c r="G1306" s="436">
        <f>ROUND(E1306*F1306,2)</f>
        <v>3753</v>
      </c>
    </row>
    <row r="1307" spans="2:7" hidden="1" outlineLevel="2">
      <c r="B1307" s="330" t="s">
        <v>1560</v>
      </c>
      <c r="C1307" s="121" t="s">
        <v>289</v>
      </c>
      <c r="D1307" s="332" t="s">
        <v>287</v>
      </c>
      <c r="E1307" s="332">
        <v>5</v>
      </c>
      <c r="F1307" s="325">
        <v>815.11</v>
      </c>
      <c r="G1307" s="436">
        <f>ROUND(E1307*F1307,2)</f>
        <v>4075.55</v>
      </c>
    </row>
    <row r="1308" spans="2:7" hidden="1" outlineLevel="2">
      <c r="B1308" s="331" t="s">
        <v>1561</v>
      </c>
      <c r="C1308" s="324" t="s">
        <v>174</v>
      </c>
      <c r="D1308" s="332"/>
      <c r="E1308" s="332"/>
      <c r="F1308" s="325"/>
      <c r="G1308" s="435">
        <f>+SUBTOTAL(9,G1309:G1311)</f>
        <v>1313.3799999999999</v>
      </c>
    </row>
    <row r="1309" spans="2:7" hidden="1" outlineLevel="2">
      <c r="B1309" s="330" t="s">
        <v>1562</v>
      </c>
      <c r="C1309" s="121" t="s">
        <v>294</v>
      </c>
      <c r="D1309" s="332" t="s">
        <v>57</v>
      </c>
      <c r="E1309" s="332">
        <v>47.7</v>
      </c>
      <c r="F1309" s="325">
        <v>9.8000000000000007</v>
      </c>
      <c r="G1309" s="436">
        <f>ROUND(E1309*F1309,2)</f>
        <v>467.46</v>
      </c>
    </row>
    <row r="1310" spans="2:7" hidden="1" outlineLevel="2">
      <c r="B1310" s="330" t="s">
        <v>1563</v>
      </c>
      <c r="C1310" s="121" t="s">
        <v>296</v>
      </c>
      <c r="D1310" s="332" t="s">
        <v>57</v>
      </c>
      <c r="E1310" s="332">
        <v>45.6</v>
      </c>
      <c r="F1310" s="325">
        <v>10.32</v>
      </c>
      <c r="G1310" s="436">
        <f>ROUND(E1310*F1310,2)</f>
        <v>470.59</v>
      </c>
    </row>
    <row r="1311" spans="2:7" hidden="1" outlineLevel="2">
      <c r="B1311" s="330" t="s">
        <v>1564</v>
      </c>
      <c r="C1311" s="121" t="s">
        <v>298</v>
      </c>
      <c r="D1311" s="332" t="s">
        <v>57</v>
      </c>
      <c r="E1311" s="332">
        <v>30.79</v>
      </c>
      <c r="F1311" s="325">
        <v>12.19</v>
      </c>
      <c r="G1311" s="436">
        <f>ROUND(E1311*F1311,2)</f>
        <v>375.33</v>
      </c>
    </row>
    <row r="1312" spans="2:7" hidden="1" outlineLevel="2">
      <c r="B1312" s="331" t="s">
        <v>1565</v>
      </c>
      <c r="C1312" s="324" t="s">
        <v>178</v>
      </c>
      <c r="D1312" s="332"/>
      <c r="E1312" s="332"/>
      <c r="F1312" s="325"/>
      <c r="G1312" s="435">
        <f>+SUBTOTAL(9,G1313)</f>
        <v>200.55</v>
      </c>
    </row>
    <row r="1313" spans="2:7" hidden="1" outlineLevel="2">
      <c r="B1313" s="330" t="s">
        <v>1566</v>
      </c>
      <c r="C1313" s="121" t="s">
        <v>183</v>
      </c>
      <c r="D1313" s="332" t="s">
        <v>43</v>
      </c>
      <c r="E1313" s="332">
        <v>7</v>
      </c>
      <c r="F1313" s="325">
        <v>28.65</v>
      </c>
      <c r="G1313" s="436">
        <f>ROUND(E1313*F1313,2)</f>
        <v>200.55</v>
      </c>
    </row>
    <row r="1314" spans="2:7" hidden="1" outlineLevel="2">
      <c r="B1314" s="331" t="s">
        <v>1567</v>
      </c>
      <c r="C1314" s="324" t="s">
        <v>185</v>
      </c>
      <c r="D1314" s="332"/>
      <c r="E1314" s="332"/>
      <c r="F1314" s="325"/>
      <c r="G1314" s="435">
        <f>+SUBTOTAL(9,G1315:G1316)</f>
        <v>1465.07</v>
      </c>
    </row>
    <row r="1315" spans="2:7" ht="30" hidden="1" outlineLevel="2">
      <c r="B1315" s="330" t="s">
        <v>1566</v>
      </c>
      <c r="C1315" s="121" t="s">
        <v>189</v>
      </c>
      <c r="D1315" s="332" t="s">
        <v>64</v>
      </c>
      <c r="E1315" s="332">
        <v>5</v>
      </c>
      <c r="F1315" s="325">
        <v>5.27</v>
      </c>
      <c r="G1315" s="436">
        <f>ROUND(E1315*F1315,2)</f>
        <v>26.35</v>
      </c>
    </row>
    <row r="1316" spans="2:7" hidden="1" outlineLevel="2">
      <c r="B1316" s="330" t="s">
        <v>1568</v>
      </c>
      <c r="C1316" s="121" t="s">
        <v>193</v>
      </c>
      <c r="D1316" s="332" t="s">
        <v>57</v>
      </c>
      <c r="E1316" s="332">
        <v>140.09</v>
      </c>
      <c r="F1316" s="325">
        <v>10.27</v>
      </c>
      <c r="G1316" s="436">
        <f>ROUND(E1316*F1316,2)</f>
        <v>1438.72</v>
      </c>
    </row>
    <row r="1317" spans="2:7" hidden="1" outlineLevel="1">
      <c r="B1317" s="331">
        <v>1.08</v>
      </c>
      <c r="C1317" s="324" t="s">
        <v>1569</v>
      </c>
      <c r="D1317" s="332"/>
      <c r="E1317" s="332"/>
      <c r="F1317" s="325"/>
      <c r="G1317" s="435">
        <f>+SUBTOTAL(9,G1318:G1362)</f>
        <v>336560.16000000009</v>
      </c>
    </row>
    <row r="1318" spans="2:7" hidden="1" outlineLevel="1" collapsed="1">
      <c r="B1318" s="331" t="s">
        <v>1570</v>
      </c>
      <c r="C1318" s="324" t="s">
        <v>1571</v>
      </c>
      <c r="D1318" s="332"/>
      <c r="E1318" s="332"/>
      <c r="F1318" s="325"/>
      <c r="G1318" s="435">
        <f>+SUBTOTAL(9,G1319:G1323)</f>
        <v>5328.0599999999995</v>
      </c>
    </row>
    <row r="1319" spans="2:7" hidden="1" outlineLevel="2">
      <c r="B1319" s="330" t="s">
        <v>1572</v>
      </c>
      <c r="C1319" s="121" t="s">
        <v>1573</v>
      </c>
      <c r="D1319" s="332" t="s">
        <v>64</v>
      </c>
      <c r="E1319" s="327">
        <v>1521.3</v>
      </c>
      <c r="F1319" s="325">
        <v>0.93</v>
      </c>
      <c r="G1319" s="436">
        <f>ROUND(E1319*F1319,2)</f>
        <v>1414.81</v>
      </c>
    </row>
    <row r="1320" spans="2:7" hidden="1" outlineLevel="2">
      <c r="B1320" s="330" t="s">
        <v>1574</v>
      </c>
      <c r="C1320" s="121" t="s">
        <v>1575</v>
      </c>
      <c r="D1320" s="332" t="s">
        <v>64</v>
      </c>
      <c r="E1320" s="327">
        <v>1521.3</v>
      </c>
      <c r="F1320" s="325">
        <v>1.26</v>
      </c>
      <c r="G1320" s="436">
        <f>ROUND(E1320*F1320,2)</f>
        <v>1916.84</v>
      </c>
    </row>
    <row r="1321" spans="2:7" hidden="1" outlineLevel="2">
      <c r="B1321" s="330" t="s">
        <v>1576</v>
      </c>
      <c r="C1321" s="121" t="s">
        <v>1577</v>
      </c>
      <c r="D1321" s="332" t="s">
        <v>43</v>
      </c>
      <c r="E1321" s="332">
        <v>4</v>
      </c>
      <c r="F1321" s="325">
        <v>109.84</v>
      </c>
      <c r="G1321" s="436">
        <f>ROUND(E1321*F1321,2)</f>
        <v>439.36</v>
      </c>
    </row>
    <row r="1322" spans="2:7" hidden="1" outlineLevel="2">
      <c r="B1322" s="330" t="s">
        <v>1578</v>
      </c>
      <c r="C1322" s="121" t="s">
        <v>1579</v>
      </c>
      <c r="D1322" s="332" t="s">
        <v>43</v>
      </c>
      <c r="E1322" s="332">
        <v>8</v>
      </c>
      <c r="F1322" s="325">
        <v>55.99</v>
      </c>
      <c r="G1322" s="436">
        <f>ROUND(E1322*F1322,2)</f>
        <v>447.92</v>
      </c>
    </row>
    <row r="1323" spans="2:7" hidden="1" outlineLevel="2">
      <c r="B1323" s="330" t="s">
        <v>1580</v>
      </c>
      <c r="C1323" s="121" t="s">
        <v>1581</v>
      </c>
      <c r="D1323" s="332" t="s">
        <v>43</v>
      </c>
      <c r="E1323" s="332">
        <v>3</v>
      </c>
      <c r="F1323" s="325">
        <v>369.71</v>
      </c>
      <c r="G1323" s="436">
        <f>ROUND(E1323*F1323,2)</f>
        <v>1109.1300000000001</v>
      </c>
    </row>
    <row r="1324" spans="2:7" hidden="1" outlineLevel="1" collapsed="1">
      <c r="B1324" s="331" t="s">
        <v>1582</v>
      </c>
      <c r="C1324" s="324" t="s">
        <v>1583</v>
      </c>
      <c r="D1324" s="332"/>
      <c r="E1324" s="332"/>
      <c r="F1324" s="325"/>
      <c r="G1324" s="435">
        <f>+SUBTOTAL(9,G1325:G1331)</f>
        <v>53582.47</v>
      </c>
    </row>
    <row r="1325" spans="2:7" hidden="1" outlineLevel="2">
      <c r="B1325" s="331" t="s">
        <v>1584</v>
      </c>
      <c r="C1325" s="324" t="s">
        <v>1585</v>
      </c>
      <c r="D1325" s="332"/>
      <c r="E1325" s="332"/>
      <c r="F1325" s="325"/>
      <c r="G1325" s="435">
        <f>+SUBTOTAL(9,G1326:G1327)</f>
        <v>36939.370000000003</v>
      </c>
    </row>
    <row r="1326" spans="2:7" hidden="1" outlineLevel="2">
      <c r="B1326" s="330" t="s">
        <v>1586</v>
      </c>
      <c r="C1326" s="121" t="s">
        <v>1587</v>
      </c>
      <c r="D1326" s="332" t="s">
        <v>64</v>
      </c>
      <c r="E1326" s="332">
        <v>72.59</v>
      </c>
      <c r="F1326" s="325">
        <v>368.76</v>
      </c>
      <c r="G1326" s="436">
        <f>ROUND(E1326*F1326,2)</f>
        <v>26768.29</v>
      </c>
    </row>
    <row r="1327" spans="2:7" hidden="1" outlineLevel="2">
      <c r="B1327" s="330" t="s">
        <v>1588</v>
      </c>
      <c r="C1327" s="121" t="s">
        <v>1589</v>
      </c>
      <c r="D1327" s="332" t="s">
        <v>64</v>
      </c>
      <c r="E1327" s="332">
        <v>24.65</v>
      </c>
      <c r="F1327" s="325">
        <v>412.62</v>
      </c>
      <c r="G1327" s="436">
        <f>ROUND(E1327*F1327,2)</f>
        <v>10171.08</v>
      </c>
    </row>
    <row r="1328" spans="2:7" hidden="1" outlineLevel="2">
      <c r="B1328" s="331" t="s">
        <v>1590</v>
      </c>
      <c r="C1328" s="324" t="s">
        <v>1591</v>
      </c>
      <c r="D1328" s="332"/>
      <c r="E1328" s="332"/>
      <c r="F1328" s="325"/>
      <c r="G1328" s="435">
        <f>+SUBTOTAL(9,G1329)</f>
        <v>16585.8</v>
      </c>
    </row>
    <row r="1329" spans="2:7" hidden="1" outlineLevel="2">
      <c r="B1329" s="330" t="s">
        <v>1592</v>
      </c>
      <c r="C1329" s="121" t="s">
        <v>1593</v>
      </c>
      <c r="D1329" s="332" t="s">
        <v>43</v>
      </c>
      <c r="E1329" s="332">
        <v>4</v>
      </c>
      <c r="F1329" s="325">
        <v>4146.45</v>
      </c>
      <c r="G1329" s="436">
        <f>ROUND(E1329*F1329,2)</f>
        <v>16585.8</v>
      </c>
    </row>
    <row r="1330" spans="2:7" hidden="1" outlineLevel="2">
      <c r="B1330" s="331" t="s">
        <v>1594</v>
      </c>
      <c r="C1330" s="324" t="s">
        <v>1595</v>
      </c>
      <c r="D1330" s="332"/>
      <c r="E1330" s="332"/>
      <c r="F1330" s="325"/>
      <c r="G1330" s="435">
        <f>+SUBTOTAL(9,G1331)</f>
        <v>57.3</v>
      </c>
    </row>
    <row r="1331" spans="2:7" hidden="1" outlineLevel="2">
      <c r="B1331" s="330" t="s">
        <v>1596</v>
      </c>
      <c r="C1331" s="121" t="s">
        <v>183</v>
      </c>
      <c r="D1331" s="332" t="s">
        <v>43</v>
      </c>
      <c r="E1331" s="332">
        <v>2</v>
      </c>
      <c r="F1331" s="325">
        <v>28.65</v>
      </c>
      <c r="G1331" s="436">
        <f>ROUND(E1331*F1331,2)</f>
        <v>57.3</v>
      </c>
    </row>
    <row r="1332" spans="2:7" hidden="1" outlineLevel="1" collapsed="1">
      <c r="B1332" s="331" t="s">
        <v>1597</v>
      </c>
      <c r="C1332" s="324" t="s">
        <v>1598</v>
      </c>
      <c r="D1332" s="332"/>
      <c r="E1332" s="332"/>
      <c r="F1332" s="325"/>
      <c r="G1332" s="435">
        <f>+SUBTOTAL(9,G1333:G1349)</f>
        <v>241317.46</v>
      </c>
    </row>
    <row r="1333" spans="2:7" hidden="1" outlineLevel="2">
      <c r="B1333" s="331" t="s">
        <v>1599</v>
      </c>
      <c r="C1333" s="324" t="s">
        <v>1600</v>
      </c>
      <c r="D1333" s="332"/>
      <c r="E1333" s="332"/>
      <c r="F1333" s="325"/>
      <c r="G1333" s="435">
        <f>+SUBTOTAL(9,G1334)</f>
        <v>467.94</v>
      </c>
    </row>
    <row r="1334" spans="2:7" hidden="1" outlineLevel="2">
      <c r="B1334" s="330" t="s">
        <v>1601</v>
      </c>
      <c r="C1334" s="121" t="s">
        <v>1602</v>
      </c>
      <c r="D1334" s="332" t="s">
        <v>43</v>
      </c>
      <c r="E1334" s="332">
        <v>6</v>
      </c>
      <c r="F1334" s="325">
        <v>77.989999999999995</v>
      </c>
      <c r="G1334" s="436">
        <f>ROUND(E1334*F1334,2)</f>
        <v>467.94</v>
      </c>
    </row>
    <row r="1335" spans="2:7" hidden="1" outlineLevel="2">
      <c r="B1335" s="331" t="s">
        <v>1603</v>
      </c>
      <c r="C1335" s="324" t="s">
        <v>1585</v>
      </c>
      <c r="D1335" s="332"/>
      <c r="E1335" s="332"/>
      <c r="F1335" s="325"/>
      <c r="G1335" s="435">
        <f>+SUBTOTAL(9,G1336:G1340)</f>
        <v>100683.10999999999</v>
      </c>
    </row>
    <row r="1336" spans="2:7" hidden="1" outlineLevel="2">
      <c r="B1336" s="330" t="s">
        <v>1604</v>
      </c>
      <c r="C1336" s="121" t="s">
        <v>1605</v>
      </c>
      <c r="D1336" s="332" t="s">
        <v>64</v>
      </c>
      <c r="E1336" s="332">
        <v>288.45999999999998</v>
      </c>
      <c r="F1336" s="325">
        <v>86.51</v>
      </c>
      <c r="G1336" s="436">
        <f>ROUND(E1336*F1336,2)</f>
        <v>24954.67</v>
      </c>
    </row>
    <row r="1337" spans="2:7" hidden="1" outlineLevel="2">
      <c r="B1337" s="330" t="s">
        <v>1606</v>
      </c>
      <c r="C1337" s="121" t="s">
        <v>1607</v>
      </c>
      <c r="D1337" s="332" t="s">
        <v>64</v>
      </c>
      <c r="E1337" s="332">
        <v>40.869999999999997</v>
      </c>
      <c r="F1337" s="325">
        <v>86.39</v>
      </c>
      <c r="G1337" s="436">
        <f>ROUND(E1337*F1337,2)</f>
        <v>3530.76</v>
      </c>
    </row>
    <row r="1338" spans="2:7" hidden="1" outlineLevel="2">
      <c r="B1338" s="330" t="s">
        <v>1608</v>
      </c>
      <c r="C1338" s="121" t="s">
        <v>1609</v>
      </c>
      <c r="D1338" s="332" t="s">
        <v>64</v>
      </c>
      <c r="E1338" s="332">
        <v>101.07</v>
      </c>
      <c r="F1338" s="325">
        <v>105.13</v>
      </c>
      <c r="G1338" s="436">
        <f>ROUND(E1338*F1338,2)</f>
        <v>10625.49</v>
      </c>
    </row>
    <row r="1339" spans="2:7" hidden="1" outlineLevel="2">
      <c r="B1339" s="330" t="s">
        <v>1610</v>
      </c>
      <c r="C1339" s="121" t="s">
        <v>1587</v>
      </c>
      <c r="D1339" s="332" t="s">
        <v>64</v>
      </c>
      <c r="E1339" s="332">
        <v>156.52000000000001</v>
      </c>
      <c r="F1339" s="325">
        <v>368.76</v>
      </c>
      <c r="G1339" s="436">
        <f>ROUND(E1339*F1339,2)</f>
        <v>57718.32</v>
      </c>
    </row>
    <row r="1340" spans="2:7" hidden="1" outlineLevel="2">
      <c r="B1340" s="330" t="s">
        <v>1611</v>
      </c>
      <c r="C1340" s="121" t="s">
        <v>1589</v>
      </c>
      <c r="D1340" s="332" t="s">
        <v>64</v>
      </c>
      <c r="E1340" s="332">
        <v>9.34</v>
      </c>
      <c r="F1340" s="325">
        <v>412.62</v>
      </c>
      <c r="G1340" s="436">
        <f>ROUND(E1340*F1340,2)</f>
        <v>3853.87</v>
      </c>
    </row>
    <row r="1341" spans="2:7" hidden="1" outlineLevel="2">
      <c r="B1341" s="331" t="s">
        <v>1612</v>
      </c>
      <c r="C1341" s="324" t="s">
        <v>1591</v>
      </c>
      <c r="D1341" s="332"/>
      <c r="E1341" s="332"/>
      <c r="F1341" s="325"/>
      <c r="G1341" s="435">
        <f>+SUBTOTAL(9,G1342:G1345)</f>
        <v>136886.18</v>
      </c>
    </row>
    <row r="1342" spans="2:7" hidden="1" outlineLevel="2">
      <c r="B1342" s="330" t="s">
        <v>1613</v>
      </c>
      <c r="C1342" s="121" t="s">
        <v>1614</v>
      </c>
      <c r="D1342" s="332" t="s">
        <v>43</v>
      </c>
      <c r="E1342" s="332">
        <v>8</v>
      </c>
      <c r="F1342" s="325">
        <v>11432.76</v>
      </c>
      <c r="G1342" s="436">
        <f>ROUND(E1342*F1342,2)</f>
        <v>91462.080000000002</v>
      </c>
    </row>
    <row r="1343" spans="2:7" hidden="1" outlineLevel="2">
      <c r="B1343" s="330" t="s">
        <v>1615</v>
      </c>
      <c r="C1343" s="121" t="s">
        <v>1616</v>
      </c>
      <c r="D1343" s="332" t="s">
        <v>43</v>
      </c>
      <c r="E1343" s="332">
        <v>1</v>
      </c>
      <c r="F1343" s="325">
        <v>14508.59</v>
      </c>
      <c r="G1343" s="436">
        <f>ROUND(E1343*F1343,2)</f>
        <v>14508.59</v>
      </c>
    </row>
    <row r="1344" spans="2:7" hidden="1" outlineLevel="2">
      <c r="B1344" s="330" t="s">
        <v>1617</v>
      </c>
      <c r="C1344" s="121" t="s">
        <v>1618</v>
      </c>
      <c r="D1344" s="332" t="s">
        <v>43</v>
      </c>
      <c r="E1344" s="332">
        <v>3</v>
      </c>
      <c r="F1344" s="325">
        <v>3394.42</v>
      </c>
      <c r="G1344" s="436">
        <f>ROUND(E1344*F1344,2)</f>
        <v>10183.26</v>
      </c>
    </row>
    <row r="1345" spans="2:7" hidden="1" outlineLevel="2">
      <c r="B1345" s="330" t="s">
        <v>1619</v>
      </c>
      <c r="C1345" s="121" t="s">
        <v>1593</v>
      </c>
      <c r="D1345" s="332" t="s">
        <v>43</v>
      </c>
      <c r="E1345" s="332">
        <v>5</v>
      </c>
      <c r="F1345" s="325">
        <v>4146.45</v>
      </c>
      <c r="G1345" s="436">
        <f>ROUND(E1345*F1345,2)</f>
        <v>20732.25</v>
      </c>
    </row>
    <row r="1346" spans="2:7" hidden="1" outlineLevel="2">
      <c r="B1346" s="331" t="s">
        <v>1620</v>
      </c>
      <c r="C1346" s="324" t="s">
        <v>1595</v>
      </c>
      <c r="D1346" s="332"/>
      <c r="E1346" s="332"/>
      <c r="F1346" s="325"/>
      <c r="G1346" s="435">
        <f>+SUBTOTAL(9,G1347)</f>
        <v>171.9</v>
      </c>
    </row>
    <row r="1347" spans="2:7" hidden="1" outlineLevel="2">
      <c r="B1347" s="330" t="s">
        <v>1621</v>
      </c>
      <c r="C1347" s="121" t="s">
        <v>183</v>
      </c>
      <c r="D1347" s="332" t="s">
        <v>43</v>
      </c>
      <c r="E1347" s="332">
        <v>6</v>
      </c>
      <c r="F1347" s="325">
        <v>28.65</v>
      </c>
      <c r="G1347" s="436">
        <f>ROUND(E1347*F1347,2)</f>
        <v>171.9</v>
      </c>
    </row>
    <row r="1348" spans="2:7" hidden="1" outlineLevel="2">
      <c r="B1348" s="331" t="s">
        <v>1622</v>
      </c>
      <c r="C1348" s="324" t="s">
        <v>1623</v>
      </c>
      <c r="D1348" s="332"/>
      <c r="E1348" s="332"/>
      <c r="F1348" s="325"/>
      <c r="G1348" s="435">
        <f>+SUBTOTAL(9,G1349)</f>
        <v>3108.33</v>
      </c>
    </row>
    <row r="1349" spans="2:7" hidden="1" outlineLevel="2">
      <c r="B1349" s="330" t="s">
        <v>1624</v>
      </c>
      <c r="C1349" s="121" t="s">
        <v>1625</v>
      </c>
      <c r="D1349" s="332" t="s">
        <v>57</v>
      </c>
      <c r="E1349" s="332">
        <v>16.829999999999998</v>
      </c>
      <c r="F1349" s="325">
        <v>184.69</v>
      </c>
      <c r="G1349" s="436">
        <f>ROUND(E1349*F1349,2)</f>
        <v>3108.33</v>
      </c>
    </row>
    <row r="1350" spans="2:7" hidden="1" outlineLevel="1" collapsed="1">
      <c r="B1350" s="331" t="s">
        <v>1626</v>
      </c>
      <c r="C1350" s="324" t="s">
        <v>1627</v>
      </c>
      <c r="D1350" s="332"/>
      <c r="E1350" s="332"/>
      <c r="F1350" s="325"/>
      <c r="G1350" s="435">
        <f>+SUBTOTAL(9,G1351:G1354)</f>
        <v>4362.34</v>
      </c>
    </row>
    <row r="1351" spans="2:7" hidden="1" outlineLevel="2">
      <c r="B1351" s="331" t="s">
        <v>1628</v>
      </c>
      <c r="C1351" s="324" t="s">
        <v>1585</v>
      </c>
      <c r="D1351" s="332"/>
      <c r="E1351" s="332"/>
      <c r="F1351" s="325"/>
      <c r="G1351" s="435">
        <f>+SUBTOTAL(9,G1352)</f>
        <v>3601.08</v>
      </c>
    </row>
    <row r="1352" spans="2:7" hidden="1" outlineLevel="2">
      <c r="B1352" s="330" t="s">
        <v>1629</v>
      </c>
      <c r="C1352" s="121" t="s">
        <v>1630</v>
      </c>
      <c r="D1352" s="332" t="s">
        <v>64</v>
      </c>
      <c r="E1352" s="332">
        <v>6.79</v>
      </c>
      <c r="F1352" s="325">
        <v>530.35</v>
      </c>
      <c r="G1352" s="436">
        <f>ROUND(E1352*F1352,2)</f>
        <v>3601.08</v>
      </c>
    </row>
    <row r="1353" spans="2:7" hidden="1" outlineLevel="2">
      <c r="B1353" s="331" t="s">
        <v>1631</v>
      </c>
      <c r="C1353" s="324" t="s">
        <v>1632</v>
      </c>
      <c r="D1353" s="332"/>
      <c r="E1353" s="332"/>
      <c r="F1353" s="325"/>
      <c r="G1353" s="435">
        <f>+SUBTOTAL(9,G1354)</f>
        <v>761.26</v>
      </c>
    </row>
    <row r="1354" spans="2:7" hidden="1" outlineLevel="2">
      <c r="B1354" s="330" t="s">
        <v>1633</v>
      </c>
      <c r="C1354" s="121" t="s">
        <v>1634</v>
      </c>
      <c r="D1354" s="332" t="s">
        <v>43</v>
      </c>
      <c r="E1354" s="332">
        <v>1</v>
      </c>
      <c r="F1354" s="325">
        <v>761.26</v>
      </c>
      <c r="G1354" s="436">
        <f>ROUND(E1354*F1354,2)</f>
        <v>761.26</v>
      </c>
    </row>
    <row r="1355" spans="2:7" hidden="1" outlineLevel="1" collapsed="1">
      <c r="B1355" s="331" t="s">
        <v>1635</v>
      </c>
      <c r="C1355" s="324" t="s">
        <v>1636</v>
      </c>
      <c r="D1355" s="332"/>
      <c r="E1355" s="332"/>
      <c r="F1355" s="325"/>
      <c r="G1355" s="435">
        <f>+SUBTOTAL(9,G1356:G1362)</f>
        <v>31969.83</v>
      </c>
    </row>
    <row r="1356" spans="2:7" hidden="1" outlineLevel="2">
      <c r="B1356" s="331" t="s">
        <v>1637</v>
      </c>
      <c r="C1356" s="324" t="s">
        <v>1585</v>
      </c>
      <c r="D1356" s="332"/>
      <c r="E1356" s="332"/>
      <c r="F1356" s="325"/>
      <c r="G1356" s="435">
        <f>+SUBTOTAL(9,G1357:G1358)</f>
        <v>23648.28</v>
      </c>
    </row>
    <row r="1357" spans="2:7" hidden="1" outlineLevel="2">
      <c r="B1357" s="330" t="s">
        <v>1638</v>
      </c>
      <c r="C1357" s="121" t="s">
        <v>1587</v>
      </c>
      <c r="D1357" s="332" t="s">
        <v>64</v>
      </c>
      <c r="E1357" s="332">
        <v>28.67</v>
      </c>
      <c r="F1357" s="325">
        <v>368.76</v>
      </c>
      <c r="G1357" s="436">
        <f>ROUND(E1357*F1357,2)</f>
        <v>10572.35</v>
      </c>
    </row>
    <row r="1358" spans="2:7" hidden="1" outlineLevel="2">
      <c r="B1358" s="330" t="s">
        <v>1639</v>
      </c>
      <c r="C1358" s="121" t="s">
        <v>1589</v>
      </c>
      <c r="D1358" s="332" t="s">
        <v>64</v>
      </c>
      <c r="E1358" s="332">
        <v>31.69</v>
      </c>
      <c r="F1358" s="325">
        <v>412.62</v>
      </c>
      <c r="G1358" s="436">
        <f>ROUND(E1358*F1358,2)</f>
        <v>13075.93</v>
      </c>
    </row>
    <row r="1359" spans="2:7" hidden="1" outlineLevel="2">
      <c r="B1359" s="331" t="s">
        <v>1640</v>
      </c>
      <c r="C1359" s="324" t="s">
        <v>1591</v>
      </c>
      <c r="D1359" s="332"/>
      <c r="E1359" s="332"/>
      <c r="F1359" s="325"/>
      <c r="G1359" s="435">
        <f>+SUBTOTAL(9,G1360)</f>
        <v>8292.9</v>
      </c>
    </row>
    <row r="1360" spans="2:7" hidden="1" outlineLevel="2">
      <c r="B1360" s="330" t="s">
        <v>1641</v>
      </c>
      <c r="C1360" s="121" t="s">
        <v>1593</v>
      </c>
      <c r="D1360" s="332" t="s">
        <v>43</v>
      </c>
      <c r="E1360" s="332">
        <v>2</v>
      </c>
      <c r="F1360" s="325">
        <v>4146.45</v>
      </c>
      <c r="G1360" s="436">
        <f>ROUND(E1360*F1360,2)</f>
        <v>8292.9</v>
      </c>
    </row>
    <row r="1361" spans="2:7" hidden="1" outlineLevel="2">
      <c r="B1361" s="331" t="s">
        <v>1642</v>
      </c>
      <c r="C1361" s="324" t="s">
        <v>1595</v>
      </c>
      <c r="D1361" s="332"/>
      <c r="E1361" s="332"/>
      <c r="F1361" s="325"/>
      <c r="G1361" s="435">
        <f>+SUBTOTAL(9,G1362)</f>
        <v>28.65</v>
      </c>
    </row>
    <row r="1362" spans="2:7" hidden="1" outlineLevel="2">
      <c r="B1362" s="330" t="s">
        <v>1643</v>
      </c>
      <c r="C1362" s="121" t="s">
        <v>183</v>
      </c>
      <c r="D1362" s="332" t="s">
        <v>43</v>
      </c>
      <c r="E1362" s="332">
        <v>1</v>
      </c>
      <c r="F1362" s="325">
        <v>28.65</v>
      </c>
      <c r="G1362" s="436">
        <f>ROUND(E1362*F1362,2)</f>
        <v>28.65</v>
      </c>
    </row>
    <row r="1363" spans="2:7" ht="20.100000000000001" customHeight="1" collapsed="1">
      <c r="B1363" s="492">
        <v>2</v>
      </c>
      <c r="C1363" s="493" t="s">
        <v>1644</v>
      </c>
      <c r="D1363" s="494"/>
      <c r="E1363" s="494"/>
      <c r="F1363" s="495"/>
      <c r="G1363" s="496">
        <f>+SUBTOTAL(9,G1364:G2195)</f>
        <v>8328189.3600000031</v>
      </c>
    </row>
    <row r="1364" spans="2:7" hidden="1" outlineLevel="1" collapsed="1">
      <c r="B1364" s="331">
        <v>2.0099999999999998</v>
      </c>
      <c r="C1364" s="324" t="s">
        <v>1645</v>
      </c>
      <c r="D1364" s="332"/>
      <c r="E1364" s="332"/>
      <c r="F1364" s="325"/>
      <c r="G1364" s="435">
        <f>+SUBTOTAL(9,G1365:G1628)</f>
        <v>4383167.6500000004</v>
      </c>
    </row>
    <row r="1365" spans="2:7" hidden="1" outlineLevel="2">
      <c r="B1365" s="331" t="s">
        <v>1646</v>
      </c>
      <c r="C1365" s="324" t="s">
        <v>1647</v>
      </c>
      <c r="D1365" s="332"/>
      <c r="E1365" s="332"/>
      <c r="F1365" s="325"/>
      <c r="G1365" s="435">
        <f>+SUBTOTAL(9,G1366:G1408)</f>
        <v>2779633.71</v>
      </c>
    </row>
    <row r="1366" spans="2:7" hidden="1" outlineLevel="2">
      <c r="B1366" s="331" t="s">
        <v>1648</v>
      </c>
      <c r="C1366" s="324" t="s">
        <v>1649</v>
      </c>
      <c r="D1366" s="332"/>
      <c r="E1366" s="332"/>
      <c r="F1366" s="325"/>
      <c r="G1366" s="435">
        <f>+SUBTOTAL(9,G1367:G1369)</f>
        <v>43573.329999999994</v>
      </c>
    </row>
    <row r="1367" spans="2:7" hidden="1" outlineLevel="2">
      <c r="B1367" s="330" t="s">
        <v>1650</v>
      </c>
      <c r="C1367" s="121" t="s">
        <v>1651</v>
      </c>
      <c r="D1367" s="332" t="s">
        <v>64</v>
      </c>
      <c r="E1367" s="332">
        <v>15.48</v>
      </c>
      <c r="F1367" s="325">
        <v>2126.33</v>
      </c>
      <c r="G1367" s="436">
        <f>ROUND(E1367*F1367,2)</f>
        <v>32915.589999999997</v>
      </c>
    </row>
    <row r="1368" spans="2:7" hidden="1" outlineLevel="2">
      <c r="B1368" s="330" t="s">
        <v>1652</v>
      </c>
      <c r="C1368" s="121" t="s">
        <v>1653</v>
      </c>
      <c r="D1368" s="332" t="s">
        <v>43</v>
      </c>
      <c r="E1368" s="332">
        <v>1</v>
      </c>
      <c r="F1368" s="325">
        <v>4806.13</v>
      </c>
      <c r="G1368" s="436">
        <f>ROUND(E1368*F1368,2)</f>
        <v>4806.13</v>
      </c>
    </row>
    <row r="1369" spans="2:7" hidden="1" outlineLevel="2">
      <c r="B1369" s="330" t="s">
        <v>1654</v>
      </c>
      <c r="C1369" s="121" t="s">
        <v>1655</v>
      </c>
      <c r="D1369" s="332" t="s">
        <v>43</v>
      </c>
      <c r="E1369" s="332">
        <v>1</v>
      </c>
      <c r="F1369" s="325">
        <v>5851.61</v>
      </c>
      <c r="G1369" s="436">
        <f>ROUND(E1369*F1369,2)</f>
        <v>5851.61</v>
      </c>
    </row>
    <row r="1370" spans="2:7" hidden="1" outlineLevel="2">
      <c r="B1370" s="331" t="s">
        <v>1656</v>
      </c>
      <c r="C1370" s="324" t="s">
        <v>1657</v>
      </c>
      <c r="D1370" s="332"/>
      <c r="E1370" s="332"/>
      <c r="F1370" s="325"/>
      <c r="G1370" s="435">
        <f>+SUBTOTAL(9,G1371:G1395)</f>
        <v>359341.63000000006</v>
      </c>
    </row>
    <row r="1371" spans="2:7" hidden="1" outlineLevel="2">
      <c r="B1371" s="330" t="s">
        <v>1658</v>
      </c>
      <c r="C1371" s="121" t="s">
        <v>1651</v>
      </c>
      <c r="D1371" s="332" t="s">
        <v>64</v>
      </c>
      <c r="E1371" s="332">
        <v>7.49</v>
      </c>
      <c r="F1371" s="325">
        <v>2126.33</v>
      </c>
      <c r="G1371" s="436">
        <f t="shared" ref="G1371:G1395" si="26">ROUND(E1371*F1371,2)</f>
        <v>15926.21</v>
      </c>
    </row>
    <row r="1372" spans="2:7" hidden="1" outlineLevel="2">
      <c r="B1372" s="330" t="s">
        <v>1654</v>
      </c>
      <c r="C1372" s="121" t="s">
        <v>1659</v>
      </c>
      <c r="D1372" s="332" t="s">
        <v>64</v>
      </c>
      <c r="E1372" s="332">
        <v>2.58</v>
      </c>
      <c r="F1372" s="325">
        <v>918.84</v>
      </c>
      <c r="G1372" s="436">
        <f t="shared" si="26"/>
        <v>2370.61</v>
      </c>
    </row>
    <row r="1373" spans="2:7" hidden="1" outlineLevel="2">
      <c r="B1373" s="330" t="s">
        <v>1660</v>
      </c>
      <c r="C1373" s="121" t="s">
        <v>1661</v>
      </c>
      <c r="D1373" s="332" t="s">
        <v>43</v>
      </c>
      <c r="E1373" s="332">
        <v>10</v>
      </c>
      <c r="F1373" s="325">
        <v>5429</v>
      </c>
      <c r="G1373" s="436">
        <f t="shared" si="26"/>
        <v>54290</v>
      </c>
    </row>
    <row r="1374" spans="2:7" hidden="1" outlineLevel="2">
      <c r="B1374" s="330" t="s">
        <v>1662</v>
      </c>
      <c r="C1374" s="121" t="s">
        <v>1663</v>
      </c>
      <c r="D1374" s="332" t="s">
        <v>43</v>
      </c>
      <c r="E1374" s="332">
        <v>6</v>
      </c>
      <c r="F1374" s="325">
        <v>2331.6</v>
      </c>
      <c r="G1374" s="436">
        <f t="shared" si="26"/>
        <v>13989.6</v>
      </c>
    </row>
    <row r="1375" spans="2:7" hidden="1" outlineLevel="2">
      <c r="B1375" s="330" t="s">
        <v>1664</v>
      </c>
      <c r="C1375" s="121" t="s">
        <v>1665</v>
      </c>
      <c r="D1375" s="332" t="s">
        <v>43</v>
      </c>
      <c r="E1375" s="332">
        <v>1</v>
      </c>
      <c r="F1375" s="325">
        <v>1124.9100000000001</v>
      </c>
      <c r="G1375" s="436">
        <f t="shared" si="26"/>
        <v>1124.9100000000001</v>
      </c>
    </row>
    <row r="1376" spans="2:7" hidden="1" outlineLevel="2">
      <c r="B1376" s="330" t="s">
        <v>1666</v>
      </c>
      <c r="C1376" s="121" t="s">
        <v>1667</v>
      </c>
      <c r="D1376" s="332" t="s">
        <v>43</v>
      </c>
      <c r="E1376" s="332">
        <v>304</v>
      </c>
      <c r="F1376" s="325">
        <v>24</v>
      </c>
      <c r="G1376" s="436">
        <f t="shared" si="26"/>
        <v>7296</v>
      </c>
    </row>
    <row r="1377" spans="2:7" hidden="1" outlineLevel="2">
      <c r="B1377" s="330" t="s">
        <v>1668</v>
      </c>
      <c r="C1377" s="121" t="s">
        <v>1669</v>
      </c>
      <c r="D1377" s="332" t="s">
        <v>43</v>
      </c>
      <c r="E1377" s="332">
        <v>216</v>
      </c>
      <c r="F1377" s="325">
        <v>11.39</v>
      </c>
      <c r="G1377" s="436">
        <f t="shared" si="26"/>
        <v>2460.2399999999998</v>
      </c>
    </row>
    <row r="1378" spans="2:7" hidden="1" outlineLevel="2">
      <c r="B1378" s="330" t="s">
        <v>1670</v>
      </c>
      <c r="C1378" s="121" t="s">
        <v>1671</v>
      </c>
      <c r="D1378" s="332" t="s">
        <v>43</v>
      </c>
      <c r="E1378" s="332">
        <v>19</v>
      </c>
      <c r="F1378" s="325">
        <v>28.1</v>
      </c>
      <c r="G1378" s="436">
        <f t="shared" si="26"/>
        <v>533.9</v>
      </c>
    </row>
    <row r="1379" spans="2:7" hidden="1" outlineLevel="2">
      <c r="B1379" s="330" t="s">
        <v>1672</v>
      </c>
      <c r="C1379" s="121" t="s">
        <v>1673</v>
      </c>
      <c r="D1379" s="332" t="s">
        <v>43</v>
      </c>
      <c r="E1379" s="332">
        <v>18</v>
      </c>
      <c r="F1379" s="325">
        <v>14.35</v>
      </c>
      <c r="G1379" s="436">
        <f t="shared" si="26"/>
        <v>258.3</v>
      </c>
    </row>
    <row r="1380" spans="2:7" hidden="1" outlineLevel="2">
      <c r="B1380" s="330" t="s">
        <v>1674</v>
      </c>
      <c r="C1380" s="121" t="s">
        <v>1675</v>
      </c>
      <c r="D1380" s="332" t="s">
        <v>43</v>
      </c>
      <c r="E1380" s="332">
        <v>6</v>
      </c>
      <c r="F1380" s="325">
        <v>2122.5100000000002</v>
      </c>
      <c r="G1380" s="436">
        <f t="shared" si="26"/>
        <v>12735.06</v>
      </c>
    </row>
    <row r="1381" spans="2:7" hidden="1" outlineLevel="2">
      <c r="B1381" s="330" t="s">
        <v>1676</v>
      </c>
      <c r="C1381" s="121" t="s">
        <v>1677</v>
      </c>
      <c r="D1381" s="332" t="s">
        <v>43</v>
      </c>
      <c r="E1381" s="332">
        <v>3</v>
      </c>
      <c r="F1381" s="325">
        <v>1129.06</v>
      </c>
      <c r="G1381" s="436">
        <f t="shared" si="26"/>
        <v>3387.18</v>
      </c>
    </row>
    <row r="1382" spans="2:7" hidden="1" outlineLevel="2">
      <c r="B1382" s="330" t="s">
        <v>1678</v>
      </c>
      <c r="C1382" s="121" t="s">
        <v>1679</v>
      </c>
      <c r="D1382" s="332" t="s">
        <v>43</v>
      </c>
      <c r="E1382" s="332">
        <v>1</v>
      </c>
      <c r="F1382" s="325">
        <v>1979.63</v>
      </c>
      <c r="G1382" s="436">
        <f t="shared" si="26"/>
        <v>1979.63</v>
      </c>
    </row>
    <row r="1383" spans="2:7" hidden="1" outlineLevel="2">
      <c r="B1383" s="330" t="s">
        <v>1680</v>
      </c>
      <c r="C1383" s="121" t="s">
        <v>1681</v>
      </c>
      <c r="D1383" s="332" t="s">
        <v>43</v>
      </c>
      <c r="E1383" s="332">
        <v>3</v>
      </c>
      <c r="F1383" s="325">
        <v>5510.42</v>
      </c>
      <c r="G1383" s="436">
        <f t="shared" si="26"/>
        <v>16531.259999999998</v>
      </c>
    </row>
    <row r="1384" spans="2:7" hidden="1" outlineLevel="2">
      <c r="B1384" s="330" t="s">
        <v>1682</v>
      </c>
      <c r="C1384" s="121" t="s">
        <v>1683</v>
      </c>
      <c r="D1384" s="332" t="s">
        <v>43</v>
      </c>
      <c r="E1384" s="332">
        <v>3</v>
      </c>
      <c r="F1384" s="325">
        <v>1839.9</v>
      </c>
      <c r="G1384" s="436">
        <f t="shared" si="26"/>
        <v>5519.7</v>
      </c>
    </row>
    <row r="1385" spans="2:7" hidden="1" outlineLevel="2">
      <c r="B1385" s="330" t="s">
        <v>1684</v>
      </c>
      <c r="C1385" s="121" t="s">
        <v>1685</v>
      </c>
      <c r="D1385" s="332" t="s">
        <v>43</v>
      </c>
      <c r="E1385" s="332">
        <v>3</v>
      </c>
      <c r="F1385" s="325">
        <v>689.97</v>
      </c>
      <c r="G1385" s="436">
        <f t="shared" si="26"/>
        <v>2069.91</v>
      </c>
    </row>
    <row r="1386" spans="2:7" hidden="1" outlineLevel="2">
      <c r="B1386" s="330" t="s">
        <v>1686</v>
      </c>
      <c r="C1386" s="121" t="s">
        <v>1687</v>
      </c>
      <c r="D1386" s="332" t="s">
        <v>43</v>
      </c>
      <c r="E1386" s="332">
        <v>1</v>
      </c>
      <c r="F1386" s="325">
        <v>1511.72</v>
      </c>
      <c r="G1386" s="436">
        <f t="shared" si="26"/>
        <v>1511.72</v>
      </c>
    </row>
    <row r="1387" spans="2:7" hidden="1" outlineLevel="2">
      <c r="B1387" s="330" t="s">
        <v>1688</v>
      </c>
      <c r="C1387" s="121" t="s">
        <v>1689</v>
      </c>
      <c r="D1387" s="332" t="s">
        <v>43</v>
      </c>
      <c r="E1387" s="332">
        <v>1</v>
      </c>
      <c r="F1387" s="325">
        <v>3372.24</v>
      </c>
      <c r="G1387" s="436">
        <f t="shared" si="26"/>
        <v>3372.24</v>
      </c>
    </row>
    <row r="1388" spans="2:7" hidden="1" outlineLevel="2">
      <c r="B1388" s="330" t="s">
        <v>1690</v>
      </c>
      <c r="C1388" s="121" t="s">
        <v>1691</v>
      </c>
      <c r="D1388" s="332" t="s">
        <v>43</v>
      </c>
      <c r="E1388" s="332">
        <v>3</v>
      </c>
      <c r="F1388" s="325">
        <v>1155.76</v>
      </c>
      <c r="G1388" s="436">
        <f t="shared" si="26"/>
        <v>3467.28</v>
      </c>
    </row>
    <row r="1389" spans="2:7" hidden="1" outlineLevel="2">
      <c r="B1389" s="330" t="s">
        <v>1692</v>
      </c>
      <c r="C1389" s="121" t="s">
        <v>1693</v>
      </c>
      <c r="D1389" s="332" t="s">
        <v>43</v>
      </c>
      <c r="E1389" s="332">
        <v>1</v>
      </c>
      <c r="F1389" s="325">
        <v>8594.57</v>
      </c>
      <c r="G1389" s="436">
        <f t="shared" si="26"/>
        <v>8594.57</v>
      </c>
    </row>
    <row r="1390" spans="2:7" hidden="1" outlineLevel="2">
      <c r="B1390" s="330" t="s">
        <v>1694</v>
      </c>
      <c r="C1390" s="121" t="s">
        <v>1695</v>
      </c>
      <c r="D1390" s="332" t="s">
        <v>43</v>
      </c>
      <c r="E1390" s="332">
        <v>3</v>
      </c>
      <c r="F1390" s="325">
        <v>715.99</v>
      </c>
      <c r="G1390" s="436">
        <f t="shared" si="26"/>
        <v>2147.9699999999998</v>
      </c>
    </row>
    <row r="1391" spans="2:7" hidden="1" outlineLevel="2">
      <c r="B1391" s="330" t="s">
        <v>1696</v>
      </c>
      <c r="C1391" s="121" t="s">
        <v>1697</v>
      </c>
      <c r="D1391" s="332" t="s">
        <v>43</v>
      </c>
      <c r="E1391" s="332">
        <v>4</v>
      </c>
      <c r="F1391" s="325">
        <v>2364.79</v>
      </c>
      <c r="G1391" s="436">
        <f t="shared" si="26"/>
        <v>9459.16</v>
      </c>
    </row>
    <row r="1392" spans="2:7" ht="30" hidden="1" outlineLevel="2">
      <c r="B1392" s="330" t="s">
        <v>1698</v>
      </c>
      <c r="C1392" s="121" t="s">
        <v>1699</v>
      </c>
      <c r="D1392" s="332" t="s">
        <v>43</v>
      </c>
      <c r="E1392" s="332">
        <v>3</v>
      </c>
      <c r="F1392" s="325">
        <v>39419.870000000003</v>
      </c>
      <c r="G1392" s="436">
        <f t="shared" si="26"/>
        <v>118259.61</v>
      </c>
    </row>
    <row r="1393" spans="2:7" ht="30" hidden="1" outlineLevel="2">
      <c r="B1393" s="330" t="s">
        <v>1700</v>
      </c>
      <c r="C1393" s="121" t="s">
        <v>1701</v>
      </c>
      <c r="D1393" s="332" t="s">
        <v>43</v>
      </c>
      <c r="E1393" s="332">
        <v>4</v>
      </c>
      <c r="F1393" s="325">
        <v>12463.52</v>
      </c>
      <c r="G1393" s="436">
        <f t="shared" si="26"/>
        <v>49854.080000000002</v>
      </c>
    </row>
    <row r="1394" spans="2:7" hidden="1" outlineLevel="2">
      <c r="B1394" s="330" t="s">
        <v>1702</v>
      </c>
      <c r="C1394" s="121" t="s">
        <v>1653</v>
      </c>
      <c r="D1394" s="332" t="s">
        <v>43</v>
      </c>
      <c r="E1394" s="332">
        <v>3</v>
      </c>
      <c r="F1394" s="325">
        <v>4806.13</v>
      </c>
      <c r="G1394" s="436">
        <f t="shared" si="26"/>
        <v>14418.39</v>
      </c>
    </row>
    <row r="1395" spans="2:7" hidden="1" outlineLevel="2">
      <c r="B1395" s="330" t="s">
        <v>1703</v>
      </c>
      <c r="C1395" s="121" t="s">
        <v>1704</v>
      </c>
      <c r="D1395" s="332" t="s">
        <v>43</v>
      </c>
      <c r="E1395" s="332">
        <v>1</v>
      </c>
      <c r="F1395" s="325">
        <v>7784.1</v>
      </c>
      <c r="G1395" s="436">
        <f t="shared" si="26"/>
        <v>7784.1</v>
      </c>
    </row>
    <row r="1396" spans="2:7" hidden="1" outlineLevel="2">
      <c r="B1396" s="331" t="s">
        <v>1705</v>
      </c>
      <c r="C1396" s="324" t="s">
        <v>1706</v>
      </c>
      <c r="D1396" s="332"/>
      <c r="E1396" s="332"/>
      <c r="F1396" s="325"/>
      <c r="G1396" s="435">
        <f>+SUBTOTAL(9,G1397:G1398)</f>
        <v>6698.99</v>
      </c>
    </row>
    <row r="1397" spans="2:7" hidden="1" outlineLevel="2">
      <c r="B1397" s="330" t="s">
        <v>1707</v>
      </c>
      <c r="C1397" s="121" t="s">
        <v>1708</v>
      </c>
      <c r="D1397" s="332" t="s">
        <v>64</v>
      </c>
      <c r="E1397" s="332">
        <v>1.7</v>
      </c>
      <c r="F1397" s="325">
        <v>498.46</v>
      </c>
      <c r="G1397" s="436">
        <f>ROUND(E1397*F1397,2)</f>
        <v>847.38</v>
      </c>
    </row>
    <row r="1398" spans="2:7" hidden="1" outlineLevel="2">
      <c r="B1398" s="330" t="s">
        <v>1709</v>
      </c>
      <c r="C1398" s="121" t="s">
        <v>1710</v>
      </c>
      <c r="D1398" s="332" t="s">
        <v>43</v>
      </c>
      <c r="E1398" s="332">
        <v>1</v>
      </c>
      <c r="F1398" s="325">
        <v>5851.61</v>
      </c>
      <c r="G1398" s="436">
        <f>ROUND(E1398*F1398,2)</f>
        <v>5851.61</v>
      </c>
    </row>
    <row r="1399" spans="2:7" hidden="1" outlineLevel="2">
      <c r="B1399" s="331" t="s">
        <v>1711</v>
      </c>
      <c r="C1399" s="324" t="s">
        <v>1712</v>
      </c>
      <c r="D1399" s="332"/>
      <c r="E1399" s="332"/>
      <c r="F1399" s="325"/>
      <c r="G1399" s="435">
        <f>+SUBTOTAL(9,G1400:G1401)</f>
        <v>20098.02</v>
      </c>
    </row>
    <row r="1400" spans="2:7" hidden="1" outlineLevel="2">
      <c r="B1400" s="330" t="s">
        <v>1713</v>
      </c>
      <c r="C1400" s="121" t="s">
        <v>1651</v>
      </c>
      <c r="D1400" s="332" t="s">
        <v>64</v>
      </c>
      <c r="E1400" s="332">
        <v>6.7</v>
      </c>
      <c r="F1400" s="325">
        <v>2126.33</v>
      </c>
      <c r="G1400" s="436">
        <f>ROUND(E1400*F1400,2)</f>
        <v>14246.41</v>
      </c>
    </row>
    <row r="1401" spans="2:7" hidden="1" outlineLevel="2">
      <c r="B1401" s="330" t="s">
        <v>1714</v>
      </c>
      <c r="C1401" s="121" t="s">
        <v>1715</v>
      </c>
      <c r="D1401" s="332" t="s">
        <v>43</v>
      </c>
      <c r="E1401" s="332">
        <v>1</v>
      </c>
      <c r="F1401" s="325">
        <v>5851.61</v>
      </c>
      <c r="G1401" s="436">
        <f>ROUND(E1401*F1401,2)</f>
        <v>5851.61</v>
      </c>
    </row>
    <row r="1402" spans="2:7" hidden="1" outlineLevel="2">
      <c r="B1402" s="331" t="s">
        <v>1716</v>
      </c>
      <c r="C1402" s="324" t="s">
        <v>1717</v>
      </c>
      <c r="D1402" s="332"/>
      <c r="E1402" s="332"/>
      <c r="F1402" s="325"/>
      <c r="G1402" s="435">
        <f>+SUBTOTAL(9,G1403:G1408)</f>
        <v>2349921.7399999998</v>
      </c>
    </row>
    <row r="1403" spans="2:7" hidden="1" outlineLevel="2">
      <c r="B1403" s="331" t="s">
        <v>1718</v>
      </c>
      <c r="C1403" s="324" t="s">
        <v>1719</v>
      </c>
      <c r="D1403" s="332"/>
      <c r="E1403" s="332"/>
      <c r="F1403" s="325"/>
      <c r="G1403" s="435">
        <f>+SUBTOTAL(9,G1404:G1408)</f>
        <v>2349921.7399999998</v>
      </c>
    </row>
    <row r="1404" spans="2:7" hidden="1" outlineLevel="2">
      <c r="B1404" s="330" t="s">
        <v>1720</v>
      </c>
      <c r="C1404" s="121" t="s">
        <v>1721</v>
      </c>
      <c r="D1404" s="332" t="s">
        <v>43</v>
      </c>
      <c r="E1404" s="332">
        <v>3</v>
      </c>
      <c r="F1404" s="325">
        <v>571596.4</v>
      </c>
      <c r="G1404" s="436">
        <f>ROUND(E1404*F1404,2)</f>
        <v>1714789.2</v>
      </c>
    </row>
    <row r="1405" spans="2:7" hidden="1" outlineLevel="2">
      <c r="B1405" s="330" t="s">
        <v>1722</v>
      </c>
      <c r="C1405" s="121" t="s">
        <v>1723</v>
      </c>
      <c r="D1405" s="332" t="s">
        <v>43</v>
      </c>
      <c r="E1405" s="332">
        <v>1</v>
      </c>
      <c r="F1405" s="325">
        <v>345344.93</v>
      </c>
      <c r="G1405" s="436">
        <f>ROUND(E1405*F1405,2)</f>
        <v>345344.93</v>
      </c>
    </row>
    <row r="1406" spans="2:7" hidden="1" outlineLevel="2">
      <c r="B1406" s="330" t="s">
        <v>1724</v>
      </c>
      <c r="C1406" s="121" t="s">
        <v>1725</v>
      </c>
      <c r="D1406" s="332" t="s">
        <v>43</v>
      </c>
      <c r="E1406" s="332">
        <v>1</v>
      </c>
      <c r="F1406" s="325">
        <v>93115.46</v>
      </c>
      <c r="G1406" s="436">
        <f>ROUND(E1406*F1406,2)</f>
        <v>93115.46</v>
      </c>
    </row>
    <row r="1407" spans="2:7" hidden="1" outlineLevel="2">
      <c r="B1407" s="330" t="s">
        <v>1726</v>
      </c>
      <c r="C1407" s="121" t="s">
        <v>1727</v>
      </c>
      <c r="D1407" s="332" t="s">
        <v>43</v>
      </c>
      <c r="E1407" s="332">
        <v>2</v>
      </c>
      <c r="F1407" s="325">
        <v>39136.76</v>
      </c>
      <c r="G1407" s="436">
        <f>ROUND(E1407*F1407,2)</f>
        <v>78273.52</v>
      </c>
    </row>
    <row r="1408" spans="2:7" hidden="1" outlineLevel="2">
      <c r="B1408" s="330" t="s">
        <v>1728</v>
      </c>
      <c r="C1408" s="121" t="s">
        <v>1729</v>
      </c>
      <c r="D1408" s="332" t="s">
        <v>43</v>
      </c>
      <c r="E1408" s="332">
        <v>3</v>
      </c>
      <c r="F1408" s="325">
        <v>39466.21</v>
      </c>
      <c r="G1408" s="436">
        <f>ROUND(E1408*F1408,2)</f>
        <v>118398.63</v>
      </c>
    </row>
    <row r="1409" spans="2:7" hidden="1" outlineLevel="2">
      <c r="B1409" s="331" t="s">
        <v>1730</v>
      </c>
      <c r="C1409" s="324" t="s">
        <v>1731</v>
      </c>
      <c r="D1409" s="332"/>
      <c r="E1409" s="332"/>
      <c r="F1409" s="325"/>
      <c r="G1409" s="435">
        <f>+SUBTOTAL(9,G1410:G1573)</f>
        <v>445740.16999999987</v>
      </c>
    </row>
    <row r="1410" spans="2:7" hidden="1" outlineLevel="2">
      <c r="B1410" s="331" t="s">
        <v>1732</v>
      </c>
      <c r="C1410" s="324" t="s">
        <v>1733</v>
      </c>
      <c r="D1410" s="332"/>
      <c r="E1410" s="332"/>
      <c r="F1410" s="325"/>
      <c r="G1410" s="435">
        <f>+SUBTOTAL(9,G1411:G1420)</f>
        <v>8992.85</v>
      </c>
    </row>
    <row r="1411" spans="2:7" hidden="1" outlineLevel="2">
      <c r="B1411" s="330" t="s">
        <v>1734</v>
      </c>
      <c r="C1411" s="121" t="s">
        <v>1735</v>
      </c>
      <c r="D1411" s="332" t="s">
        <v>43</v>
      </c>
      <c r="E1411" s="332">
        <v>9</v>
      </c>
      <c r="F1411" s="325">
        <v>76.59</v>
      </c>
      <c r="G1411" s="436">
        <f t="shared" ref="G1411:G1420" si="27">ROUND(E1411*F1411,2)</f>
        <v>689.31</v>
      </c>
    </row>
    <row r="1412" spans="2:7" hidden="1" outlineLevel="2">
      <c r="B1412" s="330" t="s">
        <v>1736</v>
      </c>
      <c r="C1412" s="121" t="s">
        <v>1737</v>
      </c>
      <c r="D1412" s="332" t="s">
        <v>43</v>
      </c>
      <c r="E1412" s="332">
        <v>26</v>
      </c>
      <c r="F1412" s="325">
        <v>149.63999999999999</v>
      </c>
      <c r="G1412" s="436">
        <f t="shared" si="27"/>
        <v>3890.64</v>
      </c>
    </row>
    <row r="1413" spans="2:7" hidden="1" outlineLevel="2">
      <c r="B1413" s="330" t="s">
        <v>1738</v>
      </c>
      <c r="C1413" s="121" t="s">
        <v>1739</v>
      </c>
      <c r="D1413" s="332" t="s">
        <v>43</v>
      </c>
      <c r="E1413" s="332">
        <v>8</v>
      </c>
      <c r="F1413" s="325">
        <v>81.680000000000007</v>
      </c>
      <c r="G1413" s="436">
        <f t="shared" si="27"/>
        <v>653.44000000000005</v>
      </c>
    </row>
    <row r="1414" spans="2:7" hidden="1" outlineLevel="2">
      <c r="B1414" s="330" t="s">
        <v>1740</v>
      </c>
      <c r="C1414" s="121" t="s">
        <v>1741</v>
      </c>
      <c r="D1414" s="332" t="s">
        <v>43</v>
      </c>
      <c r="E1414" s="332">
        <v>3</v>
      </c>
      <c r="F1414" s="325">
        <v>81.680000000000007</v>
      </c>
      <c r="G1414" s="436">
        <f t="shared" si="27"/>
        <v>245.04</v>
      </c>
    </row>
    <row r="1415" spans="2:7" hidden="1" outlineLevel="2">
      <c r="B1415" s="330" t="s">
        <v>1742</v>
      </c>
      <c r="C1415" s="121" t="s">
        <v>1743</v>
      </c>
      <c r="D1415" s="332" t="s">
        <v>43</v>
      </c>
      <c r="E1415" s="332">
        <v>1</v>
      </c>
      <c r="F1415" s="325">
        <v>72.3</v>
      </c>
      <c r="G1415" s="436">
        <f t="shared" si="27"/>
        <v>72.3</v>
      </c>
    </row>
    <row r="1416" spans="2:7" ht="30" hidden="1" outlineLevel="2">
      <c r="B1416" s="330" t="s">
        <v>1744</v>
      </c>
      <c r="C1416" s="121" t="s">
        <v>1745</v>
      </c>
      <c r="D1416" s="332" t="s">
        <v>441</v>
      </c>
      <c r="E1416" s="332">
        <v>5</v>
      </c>
      <c r="F1416" s="325">
        <v>196.54</v>
      </c>
      <c r="G1416" s="436">
        <f t="shared" si="27"/>
        <v>982.7</v>
      </c>
    </row>
    <row r="1417" spans="2:7" hidden="1" outlineLevel="2">
      <c r="B1417" s="330" t="s">
        <v>1746</v>
      </c>
      <c r="C1417" s="121" t="s">
        <v>1747</v>
      </c>
      <c r="D1417" s="332" t="s">
        <v>441</v>
      </c>
      <c r="E1417" s="332">
        <v>1</v>
      </c>
      <c r="F1417" s="325">
        <v>199.96</v>
      </c>
      <c r="G1417" s="436">
        <f t="shared" si="27"/>
        <v>199.96</v>
      </c>
    </row>
    <row r="1418" spans="2:7" hidden="1" outlineLevel="2">
      <c r="B1418" s="330" t="s">
        <v>1748</v>
      </c>
      <c r="C1418" s="121" t="s">
        <v>1749</v>
      </c>
      <c r="D1418" s="332" t="s">
        <v>441</v>
      </c>
      <c r="E1418" s="332">
        <v>1</v>
      </c>
      <c r="F1418" s="325">
        <v>403.81</v>
      </c>
      <c r="G1418" s="436">
        <f t="shared" si="27"/>
        <v>403.81</v>
      </c>
    </row>
    <row r="1419" spans="2:7" hidden="1" outlineLevel="2">
      <c r="B1419" s="330" t="s">
        <v>1750</v>
      </c>
      <c r="C1419" s="121" t="s">
        <v>1751</v>
      </c>
      <c r="D1419" s="332" t="s">
        <v>43</v>
      </c>
      <c r="E1419" s="332">
        <v>5</v>
      </c>
      <c r="F1419" s="325">
        <v>172.52</v>
      </c>
      <c r="G1419" s="436">
        <f t="shared" si="27"/>
        <v>862.6</v>
      </c>
    </row>
    <row r="1420" spans="2:7" hidden="1" outlineLevel="2">
      <c r="B1420" s="330" t="s">
        <v>1752</v>
      </c>
      <c r="C1420" s="121" t="s">
        <v>1753</v>
      </c>
      <c r="D1420" s="332" t="s">
        <v>43</v>
      </c>
      <c r="E1420" s="332">
        <v>5</v>
      </c>
      <c r="F1420" s="325">
        <v>198.61</v>
      </c>
      <c r="G1420" s="436">
        <f t="shared" si="27"/>
        <v>993.05</v>
      </c>
    </row>
    <row r="1421" spans="2:7" hidden="1" outlineLevel="2">
      <c r="B1421" s="331" t="s">
        <v>1754</v>
      </c>
      <c r="C1421" s="324" t="s">
        <v>1755</v>
      </c>
      <c r="D1421" s="332"/>
      <c r="E1421" s="332"/>
      <c r="F1421" s="325"/>
      <c r="G1421" s="435">
        <f>+SUBTOTAL(9,G1422:G1431)</f>
        <v>23393.46</v>
      </c>
    </row>
    <row r="1422" spans="2:7" hidden="1" outlineLevel="2">
      <c r="B1422" s="330" t="s">
        <v>1756</v>
      </c>
      <c r="C1422" s="121" t="s">
        <v>1757</v>
      </c>
      <c r="D1422" s="332" t="s">
        <v>64</v>
      </c>
      <c r="E1422" s="332">
        <v>106</v>
      </c>
      <c r="F1422" s="325">
        <v>134.57</v>
      </c>
      <c r="G1422" s="436">
        <f t="shared" ref="G1422:G1431" si="28">ROUND(E1422*F1422,2)</f>
        <v>14264.42</v>
      </c>
    </row>
    <row r="1423" spans="2:7" hidden="1" outlineLevel="2">
      <c r="B1423" s="330" t="s">
        <v>1758</v>
      </c>
      <c r="C1423" s="121" t="s">
        <v>1759</v>
      </c>
      <c r="D1423" s="332" t="s">
        <v>64</v>
      </c>
      <c r="E1423" s="332">
        <v>48.2</v>
      </c>
      <c r="F1423" s="325">
        <v>23.81</v>
      </c>
      <c r="G1423" s="436">
        <f t="shared" si="28"/>
        <v>1147.6400000000001</v>
      </c>
    </row>
    <row r="1424" spans="2:7" hidden="1" outlineLevel="2">
      <c r="B1424" s="330" t="s">
        <v>1760</v>
      </c>
      <c r="C1424" s="121" t="s">
        <v>1761</v>
      </c>
      <c r="D1424" s="332" t="s">
        <v>64</v>
      </c>
      <c r="E1424" s="332">
        <v>4.5</v>
      </c>
      <c r="F1424" s="325">
        <v>20.72</v>
      </c>
      <c r="G1424" s="436">
        <f t="shared" si="28"/>
        <v>93.24</v>
      </c>
    </row>
    <row r="1425" spans="2:7" hidden="1" outlineLevel="2">
      <c r="B1425" s="330" t="s">
        <v>1762</v>
      </c>
      <c r="C1425" s="121" t="s">
        <v>1763</v>
      </c>
      <c r="D1425" s="332" t="s">
        <v>64</v>
      </c>
      <c r="E1425" s="332">
        <v>3.9</v>
      </c>
      <c r="F1425" s="325">
        <v>19.71</v>
      </c>
      <c r="G1425" s="436">
        <f t="shared" si="28"/>
        <v>76.87</v>
      </c>
    </row>
    <row r="1426" spans="2:7" hidden="1" outlineLevel="2">
      <c r="B1426" s="330" t="s">
        <v>1764</v>
      </c>
      <c r="C1426" s="121" t="s">
        <v>1765</v>
      </c>
      <c r="D1426" s="332" t="s">
        <v>64</v>
      </c>
      <c r="E1426" s="332">
        <v>28.9</v>
      </c>
      <c r="F1426" s="325">
        <v>5.61</v>
      </c>
      <c r="G1426" s="436">
        <f t="shared" si="28"/>
        <v>162.13</v>
      </c>
    </row>
    <row r="1427" spans="2:7" hidden="1" outlineLevel="2">
      <c r="B1427" s="330" t="s">
        <v>1766</v>
      </c>
      <c r="C1427" s="121" t="s">
        <v>1767</v>
      </c>
      <c r="D1427" s="332" t="s">
        <v>64</v>
      </c>
      <c r="E1427" s="332">
        <v>113.5</v>
      </c>
      <c r="F1427" s="325">
        <v>5.52</v>
      </c>
      <c r="G1427" s="436">
        <f t="shared" si="28"/>
        <v>626.52</v>
      </c>
    </row>
    <row r="1428" spans="2:7" hidden="1" outlineLevel="2">
      <c r="B1428" s="330" t="s">
        <v>1768</v>
      </c>
      <c r="C1428" s="121" t="s">
        <v>1769</v>
      </c>
      <c r="D1428" s="332" t="s">
        <v>64</v>
      </c>
      <c r="E1428" s="332">
        <v>6.1</v>
      </c>
      <c r="F1428" s="325">
        <v>52.96</v>
      </c>
      <c r="G1428" s="436">
        <f t="shared" si="28"/>
        <v>323.06</v>
      </c>
    </row>
    <row r="1429" spans="2:7" hidden="1" outlineLevel="2">
      <c r="B1429" s="330" t="s">
        <v>1770</v>
      </c>
      <c r="C1429" s="121" t="s">
        <v>1771</v>
      </c>
      <c r="D1429" s="332" t="s">
        <v>64</v>
      </c>
      <c r="E1429" s="332">
        <v>15.1</v>
      </c>
      <c r="F1429" s="325">
        <v>52.58</v>
      </c>
      <c r="G1429" s="436">
        <f t="shared" si="28"/>
        <v>793.96</v>
      </c>
    </row>
    <row r="1430" spans="2:7" hidden="1" outlineLevel="2">
      <c r="B1430" s="330" t="s">
        <v>1772</v>
      </c>
      <c r="C1430" s="121" t="s">
        <v>1773</v>
      </c>
      <c r="D1430" s="332" t="s">
        <v>64</v>
      </c>
      <c r="E1430" s="332">
        <v>100.8</v>
      </c>
      <c r="F1430" s="325">
        <v>18.7</v>
      </c>
      <c r="G1430" s="436">
        <f t="shared" si="28"/>
        <v>1884.96</v>
      </c>
    </row>
    <row r="1431" spans="2:7" hidden="1" outlineLevel="2">
      <c r="B1431" s="330" t="s">
        <v>1774</v>
      </c>
      <c r="C1431" s="121" t="s">
        <v>1775</v>
      </c>
      <c r="D1431" s="332" t="s">
        <v>64</v>
      </c>
      <c r="E1431" s="332">
        <v>21</v>
      </c>
      <c r="F1431" s="325">
        <v>191.46</v>
      </c>
      <c r="G1431" s="436">
        <f t="shared" si="28"/>
        <v>4020.66</v>
      </c>
    </row>
    <row r="1432" spans="2:7" hidden="1" outlineLevel="2">
      <c r="B1432" s="331" t="s">
        <v>1776</v>
      </c>
      <c r="C1432" s="324" t="s">
        <v>1777</v>
      </c>
      <c r="D1432" s="332"/>
      <c r="E1432" s="332"/>
      <c r="F1432" s="325"/>
      <c r="G1432" s="435">
        <f>+SUBTOTAL(9,G1433:G1446)</f>
        <v>159603.32999999999</v>
      </c>
    </row>
    <row r="1433" spans="2:7" hidden="1" outlineLevel="2">
      <c r="B1433" s="330" t="s">
        <v>1778</v>
      </c>
      <c r="C1433" s="121" t="s">
        <v>1779</v>
      </c>
      <c r="D1433" s="332" t="s">
        <v>64</v>
      </c>
      <c r="E1433" s="332">
        <v>67</v>
      </c>
      <c r="F1433" s="325">
        <v>1227.47</v>
      </c>
      <c r="G1433" s="436">
        <f t="shared" ref="G1433:G1446" si="29">ROUND(E1433*F1433,2)</f>
        <v>82240.490000000005</v>
      </c>
    </row>
    <row r="1434" spans="2:7" hidden="1" outlineLevel="2">
      <c r="B1434" s="330" t="s">
        <v>1780</v>
      </c>
      <c r="C1434" s="121" t="s">
        <v>1781</v>
      </c>
      <c r="D1434" s="332" t="s">
        <v>64</v>
      </c>
      <c r="E1434" s="332">
        <v>5.5</v>
      </c>
      <c r="F1434" s="325">
        <v>1227.47</v>
      </c>
      <c r="G1434" s="436">
        <f t="shared" si="29"/>
        <v>6751.09</v>
      </c>
    </row>
    <row r="1435" spans="2:7" hidden="1" outlineLevel="2">
      <c r="B1435" s="330" t="s">
        <v>1782</v>
      </c>
      <c r="C1435" s="121" t="s">
        <v>1783</v>
      </c>
      <c r="D1435" s="332" t="s">
        <v>64</v>
      </c>
      <c r="E1435" s="332">
        <v>111.3</v>
      </c>
      <c r="F1435" s="325">
        <v>164.82</v>
      </c>
      <c r="G1435" s="436">
        <f t="shared" si="29"/>
        <v>18344.47</v>
      </c>
    </row>
    <row r="1436" spans="2:7" hidden="1" outlineLevel="2">
      <c r="B1436" s="330" t="s">
        <v>1784</v>
      </c>
      <c r="C1436" s="121" t="s">
        <v>1785</v>
      </c>
      <c r="D1436" s="332" t="s">
        <v>64</v>
      </c>
      <c r="E1436" s="332">
        <v>43</v>
      </c>
      <c r="F1436" s="325">
        <v>32.68</v>
      </c>
      <c r="G1436" s="436">
        <f t="shared" si="29"/>
        <v>1405.24</v>
      </c>
    </row>
    <row r="1437" spans="2:7" hidden="1" outlineLevel="2">
      <c r="B1437" s="330" t="s">
        <v>1786</v>
      </c>
      <c r="C1437" s="121" t="s">
        <v>1787</v>
      </c>
      <c r="D1437" s="332" t="s">
        <v>64</v>
      </c>
      <c r="E1437" s="332">
        <v>118.1</v>
      </c>
      <c r="F1437" s="325">
        <v>35.74</v>
      </c>
      <c r="G1437" s="436">
        <f t="shared" si="29"/>
        <v>4220.8900000000003</v>
      </c>
    </row>
    <row r="1438" spans="2:7" hidden="1" outlineLevel="2">
      <c r="B1438" s="330" t="s">
        <v>1788</v>
      </c>
      <c r="C1438" s="121" t="s">
        <v>1789</v>
      </c>
      <c r="D1438" s="332" t="s">
        <v>64</v>
      </c>
      <c r="E1438" s="332">
        <v>58.4</v>
      </c>
      <c r="F1438" s="325">
        <v>23.89</v>
      </c>
      <c r="G1438" s="436">
        <f t="shared" si="29"/>
        <v>1395.18</v>
      </c>
    </row>
    <row r="1439" spans="2:7" hidden="1" outlineLevel="2">
      <c r="B1439" s="330" t="s">
        <v>1790</v>
      </c>
      <c r="C1439" s="121" t="s">
        <v>1791</v>
      </c>
      <c r="D1439" s="332" t="s">
        <v>64</v>
      </c>
      <c r="E1439" s="332">
        <v>5.5</v>
      </c>
      <c r="F1439" s="325">
        <v>164.82</v>
      </c>
      <c r="G1439" s="436">
        <f t="shared" si="29"/>
        <v>906.51</v>
      </c>
    </row>
    <row r="1440" spans="2:7" hidden="1" outlineLevel="2">
      <c r="B1440" s="330" t="s">
        <v>1792</v>
      </c>
      <c r="C1440" s="121" t="s">
        <v>1793</v>
      </c>
      <c r="D1440" s="332" t="s">
        <v>64</v>
      </c>
      <c r="E1440" s="332">
        <v>111.3</v>
      </c>
      <c r="F1440" s="325">
        <v>99.57</v>
      </c>
      <c r="G1440" s="436">
        <f t="shared" si="29"/>
        <v>11082.14</v>
      </c>
    </row>
    <row r="1441" spans="2:7" hidden="1" outlineLevel="2">
      <c r="B1441" s="330" t="s">
        <v>1794</v>
      </c>
      <c r="C1441" s="121" t="s">
        <v>1795</v>
      </c>
      <c r="D1441" s="332" t="s">
        <v>64</v>
      </c>
      <c r="E1441" s="332">
        <v>43</v>
      </c>
      <c r="F1441" s="325">
        <v>35.74</v>
      </c>
      <c r="G1441" s="436">
        <f t="shared" si="29"/>
        <v>1536.82</v>
      </c>
    </row>
    <row r="1442" spans="2:7" hidden="1" outlineLevel="2">
      <c r="B1442" s="330" t="s">
        <v>1796</v>
      </c>
      <c r="C1442" s="121" t="s">
        <v>1797</v>
      </c>
      <c r="D1442" s="332" t="s">
        <v>64</v>
      </c>
      <c r="E1442" s="332">
        <v>242.8</v>
      </c>
      <c r="F1442" s="325">
        <v>17.37</v>
      </c>
      <c r="G1442" s="436">
        <f t="shared" si="29"/>
        <v>4217.4399999999996</v>
      </c>
    </row>
    <row r="1443" spans="2:7" hidden="1" outlineLevel="2">
      <c r="B1443" s="330" t="s">
        <v>1798</v>
      </c>
      <c r="C1443" s="121" t="s">
        <v>1799</v>
      </c>
      <c r="D1443" s="332" t="s">
        <v>64</v>
      </c>
      <c r="E1443" s="332">
        <v>399.6</v>
      </c>
      <c r="F1443" s="325">
        <v>35.74</v>
      </c>
      <c r="G1443" s="436">
        <f t="shared" si="29"/>
        <v>14281.7</v>
      </c>
    </row>
    <row r="1444" spans="2:7" hidden="1" outlineLevel="2">
      <c r="B1444" s="330" t="s">
        <v>1800</v>
      </c>
      <c r="C1444" s="121" t="s">
        <v>1801</v>
      </c>
      <c r="D1444" s="332" t="s">
        <v>64</v>
      </c>
      <c r="E1444" s="332">
        <v>352</v>
      </c>
      <c r="F1444" s="325">
        <v>8.3699999999999992</v>
      </c>
      <c r="G1444" s="436">
        <f t="shared" si="29"/>
        <v>2946.24</v>
      </c>
    </row>
    <row r="1445" spans="2:7" ht="30" hidden="1" outlineLevel="2">
      <c r="B1445" s="330" t="s">
        <v>1802</v>
      </c>
      <c r="C1445" s="121" t="s">
        <v>1803</v>
      </c>
      <c r="D1445" s="332" t="s">
        <v>64</v>
      </c>
      <c r="E1445" s="332">
        <v>176</v>
      </c>
      <c r="F1445" s="325">
        <v>8.3699999999999992</v>
      </c>
      <c r="G1445" s="436">
        <f t="shared" si="29"/>
        <v>1473.12</v>
      </c>
    </row>
    <row r="1446" spans="2:7" hidden="1" outlineLevel="2">
      <c r="B1446" s="330" t="s">
        <v>1804</v>
      </c>
      <c r="C1446" s="121" t="s">
        <v>1805</v>
      </c>
      <c r="D1446" s="332" t="s">
        <v>64</v>
      </c>
      <c r="E1446" s="332">
        <v>120</v>
      </c>
      <c r="F1446" s="325">
        <v>73.349999999999994</v>
      </c>
      <c r="G1446" s="436">
        <f t="shared" si="29"/>
        <v>8802</v>
      </c>
    </row>
    <row r="1447" spans="2:7" hidden="1" outlineLevel="2">
      <c r="B1447" s="331" t="s">
        <v>1806</v>
      </c>
      <c r="C1447" s="324" t="s">
        <v>1807</v>
      </c>
      <c r="D1447" s="332"/>
      <c r="E1447" s="332"/>
      <c r="F1447" s="325"/>
      <c r="G1447" s="435">
        <f>+SUBTOTAL(9,G1448:G1449)</f>
        <v>9576.51</v>
      </c>
    </row>
    <row r="1448" spans="2:7" hidden="1" outlineLevel="2">
      <c r="B1448" s="330" t="s">
        <v>1808</v>
      </c>
      <c r="C1448" s="121" t="s">
        <v>1809</v>
      </c>
      <c r="D1448" s="332" t="s">
        <v>43</v>
      </c>
      <c r="E1448" s="332">
        <v>2</v>
      </c>
      <c r="F1448" s="325">
        <v>3192.17</v>
      </c>
      <c r="G1448" s="436">
        <f>ROUND(E1448*F1448,2)</f>
        <v>6384.34</v>
      </c>
    </row>
    <row r="1449" spans="2:7" hidden="1" outlineLevel="2">
      <c r="B1449" s="330" t="s">
        <v>1810</v>
      </c>
      <c r="C1449" s="121" t="s">
        <v>1811</v>
      </c>
      <c r="D1449" s="332" t="s">
        <v>43</v>
      </c>
      <c r="E1449" s="332">
        <v>1</v>
      </c>
      <c r="F1449" s="325">
        <v>3192.17</v>
      </c>
      <c r="G1449" s="436">
        <f>ROUND(E1449*F1449,2)</f>
        <v>3192.17</v>
      </c>
    </row>
    <row r="1450" spans="2:7" hidden="1" outlineLevel="2">
      <c r="B1450" s="331" t="s">
        <v>1812</v>
      </c>
      <c r="C1450" s="324" t="s">
        <v>1813</v>
      </c>
      <c r="D1450" s="332"/>
      <c r="E1450" s="332"/>
      <c r="F1450" s="325"/>
      <c r="G1450" s="435">
        <f>+SUBTOTAL(9,G1451:G1457)</f>
        <v>6180.5</v>
      </c>
    </row>
    <row r="1451" spans="2:7" hidden="1" outlineLevel="2">
      <c r="B1451" s="330" t="s">
        <v>1814</v>
      </c>
      <c r="C1451" s="121" t="s">
        <v>1815</v>
      </c>
      <c r="D1451" s="332" t="s">
        <v>43</v>
      </c>
      <c r="E1451" s="332">
        <v>1</v>
      </c>
      <c r="F1451" s="325">
        <v>87.04</v>
      </c>
      <c r="G1451" s="436">
        <f t="shared" ref="G1451:G1457" si="30">ROUND(E1451*F1451,2)</f>
        <v>87.04</v>
      </c>
    </row>
    <row r="1452" spans="2:7" hidden="1" outlineLevel="2">
      <c r="B1452" s="330" t="s">
        <v>1816</v>
      </c>
      <c r="C1452" s="121" t="s">
        <v>1817</v>
      </c>
      <c r="D1452" s="332" t="s">
        <v>43</v>
      </c>
      <c r="E1452" s="332">
        <v>3</v>
      </c>
      <c r="F1452" s="325">
        <v>65.42</v>
      </c>
      <c r="G1452" s="436">
        <f t="shared" si="30"/>
        <v>196.26</v>
      </c>
    </row>
    <row r="1453" spans="2:7" hidden="1" outlineLevel="2">
      <c r="B1453" s="330" t="s">
        <v>1818</v>
      </c>
      <c r="C1453" s="121" t="s">
        <v>1819</v>
      </c>
      <c r="D1453" s="332" t="s">
        <v>43</v>
      </c>
      <c r="E1453" s="332">
        <v>1</v>
      </c>
      <c r="F1453" s="325">
        <v>54.61</v>
      </c>
      <c r="G1453" s="436">
        <f t="shared" si="30"/>
        <v>54.61</v>
      </c>
    </row>
    <row r="1454" spans="2:7" hidden="1" outlineLevel="2">
      <c r="B1454" s="330" t="s">
        <v>1820</v>
      </c>
      <c r="C1454" s="121" t="s">
        <v>1821</v>
      </c>
      <c r="D1454" s="332" t="s">
        <v>43</v>
      </c>
      <c r="E1454" s="332">
        <v>5</v>
      </c>
      <c r="F1454" s="325">
        <v>51.01</v>
      </c>
      <c r="G1454" s="436">
        <f t="shared" si="30"/>
        <v>255.05</v>
      </c>
    </row>
    <row r="1455" spans="2:7" hidden="1" outlineLevel="2">
      <c r="B1455" s="330" t="s">
        <v>1822</v>
      </c>
      <c r="C1455" s="121" t="s">
        <v>1823</v>
      </c>
      <c r="D1455" s="332" t="s">
        <v>43</v>
      </c>
      <c r="E1455" s="332">
        <v>5</v>
      </c>
      <c r="F1455" s="325">
        <v>51.01</v>
      </c>
      <c r="G1455" s="436">
        <f t="shared" si="30"/>
        <v>255.05</v>
      </c>
    </row>
    <row r="1456" spans="2:7" hidden="1" outlineLevel="2">
      <c r="B1456" s="330" t="s">
        <v>1824</v>
      </c>
      <c r="C1456" s="121" t="s">
        <v>1825</v>
      </c>
      <c r="D1456" s="332" t="s">
        <v>43</v>
      </c>
      <c r="E1456" s="332">
        <v>1</v>
      </c>
      <c r="F1456" s="325">
        <v>118.56</v>
      </c>
      <c r="G1456" s="436">
        <f t="shared" si="30"/>
        <v>118.56</v>
      </c>
    </row>
    <row r="1457" spans="2:7" hidden="1" outlineLevel="2">
      <c r="B1457" s="330" t="s">
        <v>1826</v>
      </c>
      <c r="C1457" s="121" t="s">
        <v>1827</v>
      </c>
      <c r="D1457" s="332" t="s">
        <v>43</v>
      </c>
      <c r="E1457" s="332">
        <v>1</v>
      </c>
      <c r="F1457" s="325">
        <v>5213.93</v>
      </c>
      <c r="G1457" s="436">
        <f t="shared" si="30"/>
        <v>5213.93</v>
      </c>
    </row>
    <row r="1458" spans="2:7" hidden="1" outlineLevel="2">
      <c r="B1458" s="331" t="s">
        <v>1828</v>
      </c>
      <c r="C1458" s="324" t="s">
        <v>1829</v>
      </c>
      <c r="D1458" s="332"/>
      <c r="E1458" s="332"/>
      <c r="F1458" s="325"/>
      <c r="G1458" s="435">
        <f>+SUBTOTAL(9,G1459:G1465)</f>
        <v>10908.130000000001</v>
      </c>
    </row>
    <row r="1459" spans="2:7" hidden="1" outlineLevel="2">
      <c r="B1459" s="330" t="s">
        <v>1830</v>
      </c>
      <c r="C1459" s="121" t="s">
        <v>1831</v>
      </c>
      <c r="D1459" s="332" t="s">
        <v>43</v>
      </c>
      <c r="E1459" s="332">
        <v>26</v>
      </c>
      <c r="F1459" s="325">
        <v>95.49</v>
      </c>
      <c r="G1459" s="436">
        <f t="shared" ref="G1459:G1465" si="31">ROUND(E1459*F1459,2)</f>
        <v>2482.7399999999998</v>
      </c>
    </row>
    <row r="1460" spans="2:7" hidden="1" outlineLevel="2">
      <c r="B1460" s="330" t="s">
        <v>1832</v>
      </c>
      <c r="C1460" s="121" t="s">
        <v>1833</v>
      </c>
      <c r="D1460" s="332" t="s">
        <v>43</v>
      </c>
      <c r="E1460" s="332">
        <v>1</v>
      </c>
      <c r="F1460" s="325">
        <v>91.89</v>
      </c>
      <c r="G1460" s="436">
        <f t="shared" si="31"/>
        <v>91.89</v>
      </c>
    </row>
    <row r="1461" spans="2:7" hidden="1" outlineLevel="2">
      <c r="B1461" s="330" t="s">
        <v>1834</v>
      </c>
      <c r="C1461" s="121" t="s">
        <v>1835</v>
      </c>
      <c r="D1461" s="332" t="s">
        <v>43</v>
      </c>
      <c r="E1461" s="332">
        <v>1</v>
      </c>
      <c r="F1461" s="325">
        <v>95.49</v>
      </c>
      <c r="G1461" s="436">
        <f t="shared" si="31"/>
        <v>95.49</v>
      </c>
    </row>
    <row r="1462" spans="2:7" hidden="1" outlineLevel="2">
      <c r="B1462" s="330" t="s">
        <v>1836</v>
      </c>
      <c r="C1462" s="121" t="s">
        <v>1831</v>
      </c>
      <c r="D1462" s="332" t="s">
        <v>43</v>
      </c>
      <c r="E1462" s="332">
        <v>9</v>
      </c>
      <c r="F1462" s="325">
        <v>95.49</v>
      </c>
      <c r="G1462" s="436">
        <f t="shared" si="31"/>
        <v>859.41</v>
      </c>
    </row>
    <row r="1463" spans="2:7" hidden="1" outlineLevel="2">
      <c r="B1463" s="330" t="s">
        <v>1837</v>
      </c>
      <c r="C1463" s="121" t="s">
        <v>1838</v>
      </c>
      <c r="D1463" s="332" t="s">
        <v>43</v>
      </c>
      <c r="E1463" s="332">
        <v>5</v>
      </c>
      <c r="F1463" s="325">
        <v>158.44</v>
      </c>
      <c r="G1463" s="436">
        <f t="shared" si="31"/>
        <v>792.2</v>
      </c>
    </row>
    <row r="1464" spans="2:7" hidden="1" outlineLevel="2">
      <c r="B1464" s="330" t="s">
        <v>1839</v>
      </c>
      <c r="C1464" s="121" t="s">
        <v>1840</v>
      </c>
      <c r="D1464" s="332" t="s">
        <v>43</v>
      </c>
      <c r="E1464" s="332">
        <v>4</v>
      </c>
      <c r="F1464" s="325">
        <v>411.65</v>
      </c>
      <c r="G1464" s="436">
        <f t="shared" si="31"/>
        <v>1646.6</v>
      </c>
    </row>
    <row r="1465" spans="2:7" hidden="1" outlineLevel="2">
      <c r="B1465" s="330" t="s">
        <v>1841</v>
      </c>
      <c r="C1465" s="121" t="s">
        <v>1842</v>
      </c>
      <c r="D1465" s="332" t="s">
        <v>43</v>
      </c>
      <c r="E1465" s="332">
        <v>6</v>
      </c>
      <c r="F1465" s="325">
        <v>823.3</v>
      </c>
      <c r="G1465" s="436">
        <f t="shared" si="31"/>
        <v>4939.8</v>
      </c>
    </row>
    <row r="1466" spans="2:7" hidden="1" outlineLevel="2">
      <c r="B1466" s="331" t="s">
        <v>1843</v>
      </c>
      <c r="C1466" s="324" t="s">
        <v>66</v>
      </c>
      <c r="D1466" s="332"/>
      <c r="E1466" s="332"/>
      <c r="F1466" s="325"/>
      <c r="G1466" s="435">
        <f>+SUBTOTAL(9,G1467:G1470)</f>
        <v>3186.2199999999993</v>
      </c>
    </row>
    <row r="1467" spans="2:7" hidden="1" outlineLevel="2">
      <c r="B1467" s="330" t="s">
        <v>1844</v>
      </c>
      <c r="C1467" s="121" t="s">
        <v>1845</v>
      </c>
      <c r="D1467" s="332" t="s">
        <v>69</v>
      </c>
      <c r="E1467" s="332">
        <v>3.75</v>
      </c>
      <c r="F1467" s="325">
        <v>41.23</v>
      </c>
      <c r="G1467" s="436">
        <f>ROUND(E1467*F1467,2)</f>
        <v>154.61000000000001</v>
      </c>
    </row>
    <row r="1468" spans="2:7" hidden="1" outlineLevel="2">
      <c r="B1468" s="330" t="s">
        <v>1846</v>
      </c>
      <c r="C1468" s="121" t="s">
        <v>1847</v>
      </c>
      <c r="D1468" s="332" t="s">
        <v>69</v>
      </c>
      <c r="E1468" s="332">
        <v>25.9</v>
      </c>
      <c r="F1468" s="325">
        <v>41.23</v>
      </c>
      <c r="G1468" s="436">
        <f>ROUND(E1468*F1468,2)</f>
        <v>1067.8599999999999</v>
      </c>
    </row>
    <row r="1469" spans="2:7" hidden="1" outlineLevel="2">
      <c r="B1469" s="330" t="s">
        <v>1848</v>
      </c>
      <c r="C1469" s="121" t="s">
        <v>1849</v>
      </c>
      <c r="D1469" s="332" t="s">
        <v>69</v>
      </c>
      <c r="E1469" s="332">
        <v>21.1</v>
      </c>
      <c r="F1469" s="325">
        <v>65.97</v>
      </c>
      <c r="G1469" s="436">
        <f>ROUND(E1469*F1469,2)</f>
        <v>1391.97</v>
      </c>
    </row>
    <row r="1470" spans="2:7" hidden="1" outlineLevel="2">
      <c r="B1470" s="330" t="s">
        <v>1850</v>
      </c>
      <c r="C1470" s="121" t="s">
        <v>1851</v>
      </c>
      <c r="D1470" s="332" t="s">
        <v>69</v>
      </c>
      <c r="E1470" s="332">
        <v>50.2</v>
      </c>
      <c r="F1470" s="325">
        <v>11.39</v>
      </c>
      <c r="G1470" s="436">
        <f>ROUND(E1470*F1470,2)</f>
        <v>571.78</v>
      </c>
    </row>
    <row r="1471" spans="2:7" hidden="1" outlineLevel="2">
      <c r="B1471" s="331" t="s">
        <v>1852</v>
      </c>
      <c r="C1471" s="324" t="s">
        <v>1853</v>
      </c>
      <c r="D1471" s="332"/>
      <c r="E1471" s="332"/>
      <c r="F1471" s="325"/>
      <c r="G1471" s="435">
        <f>+SUBTOTAL(9,G1472:G1476)</f>
        <v>43039.07</v>
      </c>
    </row>
    <row r="1472" spans="2:7" hidden="1" outlineLevel="2">
      <c r="B1472" s="330" t="s">
        <v>1854</v>
      </c>
      <c r="C1472" s="121" t="s">
        <v>1855</v>
      </c>
      <c r="D1472" s="332" t="s">
        <v>43</v>
      </c>
      <c r="E1472" s="332">
        <v>1</v>
      </c>
      <c r="F1472" s="325">
        <v>6766.7</v>
      </c>
      <c r="G1472" s="436">
        <f>ROUND(E1472*F1472,2)</f>
        <v>6766.7</v>
      </c>
    </row>
    <row r="1473" spans="2:7" hidden="1" outlineLevel="2">
      <c r="B1473" s="330" t="s">
        <v>1856</v>
      </c>
      <c r="C1473" s="121" t="s">
        <v>1857</v>
      </c>
      <c r="D1473" s="332" t="s">
        <v>43</v>
      </c>
      <c r="E1473" s="332">
        <v>10</v>
      </c>
      <c r="F1473" s="325">
        <v>448.37</v>
      </c>
      <c r="G1473" s="436">
        <f>ROUND(E1473*F1473,2)</f>
        <v>4483.7</v>
      </c>
    </row>
    <row r="1474" spans="2:7" hidden="1" outlineLevel="2">
      <c r="B1474" s="330" t="s">
        <v>1858</v>
      </c>
      <c r="C1474" s="121" t="s">
        <v>1859</v>
      </c>
      <c r="D1474" s="332" t="s">
        <v>43</v>
      </c>
      <c r="E1474" s="332">
        <v>10</v>
      </c>
      <c r="F1474" s="325">
        <v>437.56</v>
      </c>
      <c r="G1474" s="436">
        <f>ROUND(E1474*F1474,2)</f>
        <v>4375.6000000000004</v>
      </c>
    </row>
    <row r="1475" spans="2:7" hidden="1" outlineLevel="2">
      <c r="B1475" s="330" t="s">
        <v>1860</v>
      </c>
      <c r="C1475" s="121" t="s">
        <v>1861</v>
      </c>
      <c r="D1475" s="332" t="s">
        <v>43</v>
      </c>
      <c r="E1475" s="332">
        <v>16.3</v>
      </c>
      <c r="F1475" s="325">
        <v>432.63</v>
      </c>
      <c r="G1475" s="436">
        <f>ROUND(E1475*F1475,2)</f>
        <v>7051.87</v>
      </c>
    </row>
    <row r="1476" spans="2:7" hidden="1" outlineLevel="2">
      <c r="B1476" s="330" t="s">
        <v>1862</v>
      </c>
      <c r="C1476" s="121" t="s">
        <v>1863</v>
      </c>
      <c r="D1476" s="332" t="s">
        <v>43</v>
      </c>
      <c r="E1476" s="332">
        <v>10</v>
      </c>
      <c r="F1476" s="325">
        <v>2036.12</v>
      </c>
      <c r="G1476" s="436">
        <f>ROUND(E1476*F1476,2)</f>
        <v>20361.2</v>
      </c>
    </row>
    <row r="1477" spans="2:7" hidden="1" outlineLevel="2">
      <c r="B1477" s="331" t="s">
        <v>1864</v>
      </c>
      <c r="C1477" s="324" t="s">
        <v>1865</v>
      </c>
      <c r="D1477" s="332"/>
      <c r="E1477" s="332"/>
      <c r="F1477" s="325"/>
      <c r="G1477" s="435">
        <f>+SUBTOTAL(9,G1478)</f>
        <v>12881.6</v>
      </c>
    </row>
    <row r="1478" spans="2:7" hidden="1" outlineLevel="2">
      <c r="B1478" s="330" t="s">
        <v>1866</v>
      </c>
      <c r="C1478" s="121" t="s">
        <v>1867</v>
      </c>
      <c r="D1478" s="332" t="s">
        <v>43</v>
      </c>
      <c r="E1478" s="332">
        <v>8</v>
      </c>
      <c r="F1478" s="325">
        <v>1610.2</v>
      </c>
      <c r="G1478" s="436">
        <f>ROUND(E1478*F1478,2)</f>
        <v>12881.6</v>
      </c>
    </row>
    <row r="1479" spans="2:7" hidden="1" outlineLevel="2">
      <c r="B1479" s="331" t="s">
        <v>1868</v>
      </c>
      <c r="C1479" s="324" t="s">
        <v>1869</v>
      </c>
      <c r="D1479" s="332"/>
      <c r="E1479" s="332"/>
      <c r="F1479" s="325"/>
      <c r="G1479" s="435">
        <f>+SUBTOTAL(9,G1480)</f>
        <v>3289.52</v>
      </c>
    </row>
    <row r="1480" spans="2:7" hidden="1" outlineLevel="2">
      <c r="B1480" s="330" t="s">
        <v>1870</v>
      </c>
      <c r="C1480" s="121" t="s">
        <v>1871</v>
      </c>
      <c r="D1480" s="332" t="s">
        <v>1872</v>
      </c>
      <c r="E1480" s="332">
        <v>1</v>
      </c>
      <c r="F1480" s="325">
        <v>3289.52</v>
      </c>
      <c r="G1480" s="436">
        <f>ROUND(E1480*F1480,2)</f>
        <v>3289.52</v>
      </c>
    </row>
    <row r="1481" spans="2:7" hidden="1" outlineLevel="2">
      <c r="B1481" s="331" t="s">
        <v>1873</v>
      </c>
      <c r="C1481" s="324" t="s">
        <v>1874</v>
      </c>
      <c r="D1481" s="332"/>
      <c r="E1481" s="332"/>
      <c r="F1481" s="325"/>
      <c r="G1481" s="435">
        <f>+SUBTOTAL(9,G1482:G1536)</f>
        <v>53528.780000000006</v>
      </c>
    </row>
    <row r="1482" spans="2:7" hidden="1" outlineLevel="2">
      <c r="B1482" s="331" t="s">
        <v>1875</v>
      </c>
      <c r="C1482" s="324" t="s">
        <v>1876</v>
      </c>
      <c r="D1482" s="332"/>
      <c r="E1482" s="332"/>
      <c r="F1482" s="325"/>
      <c r="G1482" s="435">
        <f>+SUBTOTAL(9,G1483:G1501)</f>
        <v>20834.7</v>
      </c>
    </row>
    <row r="1483" spans="2:7" hidden="1" outlineLevel="2">
      <c r="B1483" s="331" t="s">
        <v>1877</v>
      </c>
      <c r="C1483" s="324" t="s">
        <v>1878</v>
      </c>
      <c r="D1483" s="332"/>
      <c r="E1483" s="332"/>
      <c r="F1483" s="325"/>
      <c r="G1483" s="435">
        <f>+SUBTOTAL(9,G1484)</f>
        <v>1339.04</v>
      </c>
    </row>
    <row r="1484" spans="2:7" hidden="1" outlineLevel="2">
      <c r="B1484" s="330" t="s">
        <v>1879</v>
      </c>
      <c r="C1484" s="121" t="s">
        <v>1880</v>
      </c>
      <c r="D1484" s="332" t="s">
        <v>43</v>
      </c>
      <c r="E1484" s="332">
        <v>1</v>
      </c>
      <c r="F1484" s="325">
        <v>1339.04</v>
      </c>
      <c r="G1484" s="436">
        <f>ROUND(E1484*F1484,2)</f>
        <v>1339.04</v>
      </c>
    </row>
    <row r="1485" spans="2:7" hidden="1" outlineLevel="2">
      <c r="B1485" s="331" t="s">
        <v>1881</v>
      </c>
      <c r="C1485" s="324" t="s">
        <v>1882</v>
      </c>
      <c r="D1485" s="332"/>
      <c r="E1485" s="332"/>
      <c r="F1485" s="325"/>
      <c r="G1485" s="435">
        <f>+SUBTOTAL(9,G1486)</f>
        <v>945.76</v>
      </c>
    </row>
    <row r="1486" spans="2:7" hidden="1" outlineLevel="2">
      <c r="B1486" s="330" t="s">
        <v>1883</v>
      </c>
      <c r="C1486" s="121" t="s">
        <v>1884</v>
      </c>
      <c r="D1486" s="332" t="s">
        <v>43</v>
      </c>
      <c r="E1486" s="332">
        <v>1</v>
      </c>
      <c r="F1486" s="325">
        <v>945.76</v>
      </c>
      <c r="G1486" s="436">
        <f>ROUND(E1486*F1486,2)</f>
        <v>945.76</v>
      </c>
    </row>
    <row r="1487" spans="2:7" hidden="1" outlineLevel="2">
      <c r="B1487" s="331" t="s">
        <v>1885</v>
      </c>
      <c r="C1487" s="324" t="s">
        <v>1886</v>
      </c>
      <c r="D1487" s="332"/>
      <c r="E1487" s="332"/>
      <c r="F1487" s="325"/>
      <c r="G1487" s="435">
        <f>+SUBTOTAL(9,G1488:G1489)</f>
        <v>3776.0800000000004</v>
      </c>
    </row>
    <row r="1488" spans="2:7" hidden="1" outlineLevel="2">
      <c r="B1488" s="330" t="s">
        <v>1887</v>
      </c>
      <c r="C1488" s="121" t="s">
        <v>1888</v>
      </c>
      <c r="D1488" s="332" t="s">
        <v>64</v>
      </c>
      <c r="E1488" s="332">
        <v>15.75</v>
      </c>
      <c r="F1488" s="325">
        <v>28.67</v>
      </c>
      <c r="G1488" s="436">
        <f>ROUND(E1488*F1488,2)</f>
        <v>451.55</v>
      </c>
    </row>
    <row r="1489" spans="2:7" hidden="1" outlineLevel="2">
      <c r="B1489" s="330" t="s">
        <v>1889</v>
      </c>
      <c r="C1489" s="121" t="s">
        <v>1890</v>
      </c>
      <c r="D1489" s="332" t="s">
        <v>64</v>
      </c>
      <c r="E1489" s="332">
        <v>47.5</v>
      </c>
      <c r="F1489" s="325">
        <v>69.989999999999995</v>
      </c>
      <c r="G1489" s="436">
        <f>ROUND(E1489*F1489,2)</f>
        <v>3324.53</v>
      </c>
    </row>
    <row r="1490" spans="2:7" hidden="1" outlineLevel="2">
      <c r="B1490" s="331" t="s">
        <v>1891</v>
      </c>
      <c r="C1490" s="324" t="s">
        <v>1892</v>
      </c>
      <c r="D1490" s="332"/>
      <c r="E1490" s="332"/>
      <c r="F1490" s="325"/>
      <c r="G1490" s="435">
        <f>+SUBTOTAL(9,G1491:G1494)</f>
        <v>1340.5800000000002</v>
      </c>
    </row>
    <row r="1491" spans="2:7" hidden="1" outlineLevel="2">
      <c r="B1491" s="330" t="s">
        <v>1893</v>
      </c>
      <c r="C1491" s="121" t="s">
        <v>1894</v>
      </c>
      <c r="D1491" s="332" t="s">
        <v>43</v>
      </c>
      <c r="E1491" s="332">
        <v>3</v>
      </c>
      <c r="F1491" s="325">
        <v>72.06</v>
      </c>
      <c r="G1491" s="436">
        <f>ROUND(E1491*F1491,2)</f>
        <v>216.18</v>
      </c>
    </row>
    <row r="1492" spans="2:7" ht="30" hidden="1" outlineLevel="2">
      <c r="B1492" s="330" t="s">
        <v>1895</v>
      </c>
      <c r="C1492" s="121" t="s">
        <v>1896</v>
      </c>
      <c r="D1492" s="332" t="s">
        <v>43</v>
      </c>
      <c r="E1492" s="332">
        <v>9</v>
      </c>
      <c r="F1492" s="325">
        <v>72.06</v>
      </c>
      <c r="G1492" s="436">
        <f>ROUND(E1492*F1492,2)</f>
        <v>648.54</v>
      </c>
    </row>
    <row r="1493" spans="2:7" hidden="1" outlineLevel="2">
      <c r="B1493" s="330" t="s">
        <v>1897</v>
      </c>
      <c r="C1493" s="121" t="s">
        <v>1898</v>
      </c>
      <c r="D1493" s="332" t="s">
        <v>43</v>
      </c>
      <c r="E1493" s="332">
        <v>9</v>
      </c>
      <c r="F1493" s="325">
        <v>22.66</v>
      </c>
      <c r="G1493" s="436">
        <f>ROUND(E1493*F1493,2)</f>
        <v>203.94</v>
      </c>
    </row>
    <row r="1494" spans="2:7" hidden="1" outlineLevel="2">
      <c r="B1494" s="330" t="s">
        <v>1899</v>
      </c>
      <c r="C1494" s="121" t="s">
        <v>1900</v>
      </c>
      <c r="D1494" s="332" t="s">
        <v>43</v>
      </c>
      <c r="E1494" s="332">
        <v>12</v>
      </c>
      <c r="F1494" s="325">
        <v>22.66</v>
      </c>
      <c r="G1494" s="436">
        <f>ROUND(E1494*F1494,2)</f>
        <v>271.92</v>
      </c>
    </row>
    <row r="1495" spans="2:7" hidden="1" outlineLevel="2">
      <c r="B1495" s="331" t="s">
        <v>1901</v>
      </c>
      <c r="C1495" s="324" t="s">
        <v>1865</v>
      </c>
      <c r="D1495" s="332"/>
      <c r="E1495" s="332"/>
      <c r="F1495" s="325"/>
      <c r="G1495" s="435">
        <f>+SUBTOTAL(9,G1496)</f>
        <v>4310.68</v>
      </c>
    </row>
    <row r="1496" spans="2:7" hidden="1" outlineLevel="2">
      <c r="B1496" s="330" t="s">
        <v>1902</v>
      </c>
      <c r="C1496" s="121" t="s">
        <v>1903</v>
      </c>
      <c r="D1496" s="332" t="s">
        <v>43</v>
      </c>
      <c r="E1496" s="332">
        <v>4</v>
      </c>
      <c r="F1496" s="325">
        <v>1077.67</v>
      </c>
      <c r="G1496" s="436">
        <f>ROUND(E1496*F1496,2)</f>
        <v>4310.68</v>
      </c>
    </row>
    <row r="1497" spans="2:7" hidden="1" outlineLevel="2">
      <c r="B1497" s="331" t="s">
        <v>1904</v>
      </c>
      <c r="C1497" s="324" t="s">
        <v>1905</v>
      </c>
      <c r="D1497" s="332"/>
      <c r="E1497" s="332"/>
      <c r="F1497" s="325"/>
      <c r="G1497" s="435">
        <f>+SUBTOTAL(9,G1498:G1501)</f>
        <v>9122.56</v>
      </c>
    </row>
    <row r="1498" spans="2:7" ht="30" hidden="1" outlineLevel="2">
      <c r="B1498" s="330" t="s">
        <v>1906</v>
      </c>
      <c r="C1498" s="121" t="s">
        <v>1907</v>
      </c>
      <c r="D1498" s="332" t="s">
        <v>43</v>
      </c>
      <c r="E1498" s="332">
        <v>6</v>
      </c>
      <c r="F1498" s="325">
        <v>333.27</v>
      </c>
      <c r="G1498" s="436">
        <f>ROUND(E1498*F1498,2)</f>
        <v>1999.62</v>
      </c>
    </row>
    <row r="1499" spans="2:7" ht="30" hidden="1" outlineLevel="2">
      <c r="B1499" s="330" t="s">
        <v>1908</v>
      </c>
      <c r="C1499" s="121" t="s">
        <v>1909</v>
      </c>
      <c r="D1499" s="332" t="s">
        <v>43</v>
      </c>
      <c r="E1499" s="332">
        <v>9</v>
      </c>
      <c r="F1499" s="325">
        <v>315.25</v>
      </c>
      <c r="G1499" s="436">
        <f>ROUND(E1499*F1499,2)</f>
        <v>2837.25</v>
      </c>
    </row>
    <row r="1500" spans="2:7" hidden="1" outlineLevel="2">
      <c r="B1500" s="330" t="s">
        <v>1910</v>
      </c>
      <c r="C1500" s="121" t="s">
        <v>1911</v>
      </c>
      <c r="D1500" s="332" t="s">
        <v>43</v>
      </c>
      <c r="E1500" s="332">
        <v>9</v>
      </c>
      <c r="F1500" s="325">
        <v>21.25</v>
      </c>
      <c r="G1500" s="436">
        <f>ROUND(E1500*F1500,2)</f>
        <v>191.25</v>
      </c>
    </row>
    <row r="1501" spans="2:7" ht="30" hidden="1" outlineLevel="2">
      <c r="B1501" s="330" t="s">
        <v>1912</v>
      </c>
      <c r="C1501" s="121" t="s">
        <v>1913</v>
      </c>
      <c r="D1501" s="332" t="s">
        <v>43</v>
      </c>
      <c r="E1501" s="332">
        <v>4</v>
      </c>
      <c r="F1501" s="325">
        <v>1023.61</v>
      </c>
      <c r="G1501" s="436">
        <f>ROUND(E1501*F1501,2)</f>
        <v>4094.44</v>
      </c>
    </row>
    <row r="1502" spans="2:7" hidden="1" outlineLevel="2">
      <c r="B1502" s="331" t="s">
        <v>1914</v>
      </c>
      <c r="C1502" s="324" t="s">
        <v>1915</v>
      </c>
      <c r="D1502" s="332"/>
      <c r="E1502" s="332"/>
      <c r="F1502" s="325"/>
      <c r="G1502" s="435">
        <f>+SUBTOTAL(9,G1503:G1536)</f>
        <v>32694.079999999994</v>
      </c>
    </row>
    <row r="1503" spans="2:7" hidden="1" outlineLevel="2">
      <c r="B1503" s="331" t="s">
        <v>1916</v>
      </c>
      <c r="C1503" s="324" t="s">
        <v>1917</v>
      </c>
      <c r="D1503" s="332"/>
      <c r="E1503" s="332"/>
      <c r="F1503" s="325"/>
      <c r="G1503" s="435">
        <f>+SUBTOTAL(9,G1504:G1505)</f>
        <v>9478.5299999999988</v>
      </c>
    </row>
    <row r="1504" spans="2:7" ht="30" hidden="1" outlineLevel="2">
      <c r="B1504" s="330" t="s">
        <v>1918</v>
      </c>
      <c r="C1504" s="121" t="s">
        <v>1919</v>
      </c>
      <c r="D1504" s="332" t="s">
        <v>1920</v>
      </c>
      <c r="E1504" s="332">
        <v>0.2</v>
      </c>
      <c r="F1504" s="325">
        <v>30504.15</v>
      </c>
      <c r="G1504" s="436">
        <f>ROUND(E1504*F1504,2)</f>
        <v>6100.83</v>
      </c>
    </row>
    <row r="1505" spans="2:7" ht="30" hidden="1" outlineLevel="2">
      <c r="B1505" s="330" t="s">
        <v>1921</v>
      </c>
      <c r="C1505" s="121" t="s">
        <v>1922</v>
      </c>
      <c r="D1505" s="332" t="s">
        <v>1923</v>
      </c>
      <c r="E1505" s="332">
        <v>1</v>
      </c>
      <c r="F1505" s="325">
        <v>3377.7</v>
      </c>
      <c r="G1505" s="436">
        <f>ROUND(E1505*F1505,2)</f>
        <v>3377.7</v>
      </c>
    </row>
    <row r="1506" spans="2:7" hidden="1" outlineLevel="2">
      <c r="B1506" s="331" t="s">
        <v>1924</v>
      </c>
      <c r="C1506" s="324" t="s">
        <v>1925</v>
      </c>
      <c r="D1506" s="332"/>
      <c r="E1506" s="332"/>
      <c r="F1506" s="325"/>
      <c r="G1506" s="435">
        <f>+SUBTOTAL(9,G1507:G1510)</f>
        <v>1654.17</v>
      </c>
    </row>
    <row r="1507" spans="2:7" hidden="1" outlineLevel="2">
      <c r="B1507" s="330" t="s">
        <v>1926</v>
      </c>
      <c r="C1507" s="121" t="s">
        <v>1927</v>
      </c>
      <c r="D1507" s="332" t="s">
        <v>43</v>
      </c>
      <c r="E1507" s="332">
        <v>1</v>
      </c>
      <c r="F1507" s="325">
        <v>428.32</v>
      </c>
      <c r="G1507" s="436">
        <f>ROUND(E1507*F1507,2)</f>
        <v>428.32</v>
      </c>
    </row>
    <row r="1508" spans="2:7" hidden="1" outlineLevel="2">
      <c r="B1508" s="330" t="s">
        <v>1928</v>
      </c>
      <c r="C1508" s="121" t="s">
        <v>1929</v>
      </c>
      <c r="D1508" s="332" t="s">
        <v>69</v>
      </c>
      <c r="E1508" s="332">
        <v>1.5</v>
      </c>
      <c r="F1508" s="325">
        <v>32.86</v>
      </c>
      <c r="G1508" s="436">
        <f>ROUND(E1508*F1508,2)</f>
        <v>49.29</v>
      </c>
    </row>
    <row r="1509" spans="2:7" hidden="1" outlineLevel="2">
      <c r="B1509" s="330" t="s">
        <v>1930</v>
      </c>
      <c r="C1509" s="121" t="s">
        <v>1931</v>
      </c>
      <c r="D1509" s="332" t="s">
        <v>43</v>
      </c>
      <c r="E1509" s="332">
        <v>1</v>
      </c>
      <c r="F1509" s="325">
        <v>815.6</v>
      </c>
      <c r="G1509" s="436">
        <f>ROUND(E1509*F1509,2)</f>
        <v>815.6</v>
      </c>
    </row>
    <row r="1510" spans="2:7" ht="30" hidden="1" outlineLevel="2">
      <c r="B1510" s="330" t="s">
        <v>1932</v>
      </c>
      <c r="C1510" s="121" t="s">
        <v>1933</v>
      </c>
      <c r="D1510" s="332" t="s">
        <v>43</v>
      </c>
      <c r="E1510" s="332">
        <v>1</v>
      </c>
      <c r="F1510" s="325">
        <v>360.96</v>
      </c>
      <c r="G1510" s="436">
        <f>ROUND(E1510*F1510,2)</f>
        <v>360.96</v>
      </c>
    </row>
    <row r="1511" spans="2:7" hidden="1" outlineLevel="2">
      <c r="B1511" s="331" t="s">
        <v>1934</v>
      </c>
      <c r="C1511" s="324" t="s">
        <v>1935</v>
      </c>
      <c r="D1511" s="332"/>
      <c r="E1511" s="332"/>
      <c r="F1511" s="325"/>
      <c r="G1511" s="435">
        <f>+SUBTOTAL(9,G1512:G1514)</f>
        <v>2352.16</v>
      </c>
    </row>
    <row r="1512" spans="2:7" hidden="1" outlineLevel="2">
      <c r="B1512" s="330" t="s">
        <v>1936</v>
      </c>
      <c r="C1512" s="121" t="s">
        <v>1937</v>
      </c>
      <c r="D1512" s="332" t="s">
        <v>69</v>
      </c>
      <c r="E1512" s="332">
        <v>2.96</v>
      </c>
      <c r="F1512" s="325">
        <v>85.59</v>
      </c>
      <c r="G1512" s="436">
        <f>ROUND(E1512*F1512,2)</f>
        <v>253.35</v>
      </c>
    </row>
    <row r="1513" spans="2:7" hidden="1" outlineLevel="2">
      <c r="B1513" s="330" t="s">
        <v>1938</v>
      </c>
      <c r="C1513" s="121" t="s">
        <v>1939</v>
      </c>
      <c r="D1513" s="332" t="s">
        <v>43</v>
      </c>
      <c r="E1513" s="332">
        <v>2</v>
      </c>
      <c r="F1513" s="325">
        <v>940.49</v>
      </c>
      <c r="G1513" s="436">
        <f>ROUND(E1513*F1513,2)</f>
        <v>1880.98</v>
      </c>
    </row>
    <row r="1514" spans="2:7" hidden="1" outlineLevel="2">
      <c r="B1514" s="330" t="s">
        <v>1940</v>
      </c>
      <c r="C1514" s="121" t="s">
        <v>1941</v>
      </c>
      <c r="D1514" s="332" t="s">
        <v>69</v>
      </c>
      <c r="E1514" s="332">
        <v>2.96</v>
      </c>
      <c r="F1514" s="325">
        <v>73.59</v>
      </c>
      <c r="G1514" s="436">
        <f>ROUND(E1514*F1514,2)</f>
        <v>217.83</v>
      </c>
    </row>
    <row r="1515" spans="2:7" hidden="1" outlineLevel="2">
      <c r="B1515" s="331" t="s">
        <v>1942</v>
      </c>
      <c r="C1515" s="324" t="s">
        <v>1943</v>
      </c>
      <c r="D1515" s="332"/>
      <c r="E1515" s="332"/>
      <c r="F1515" s="325"/>
      <c r="G1515" s="435">
        <f>+SUBTOTAL(9,G1516:G1518)</f>
        <v>3401.8799999999997</v>
      </c>
    </row>
    <row r="1516" spans="2:7" hidden="1" outlineLevel="2">
      <c r="B1516" s="330" t="s">
        <v>1944</v>
      </c>
      <c r="C1516" s="121" t="s">
        <v>1937</v>
      </c>
      <c r="D1516" s="332" t="s">
        <v>69</v>
      </c>
      <c r="E1516" s="332">
        <v>2.96</v>
      </c>
      <c r="F1516" s="325">
        <v>193.81</v>
      </c>
      <c r="G1516" s="436">
        <f>ROUND(E1516*F1516,2)</f>
        <v>573.67999999999995</v>
      </c>
    </row>
    <row r="1517" spans="2:7" hidden="1" outlineLevel="2">
      <c r="B1517" s="330" t="s">
        <v>1945</v>
      </c>
      <c r="C1517" s="121" t="s">
        <v>1946</v>
      </c>
      <c r="D1517" s="332" t="s">
        <v>43</v>
      </c>
      <c r="E1517" s="332">
        <v>4</v>
      </c>
      <c r="F1517" s="325">
        <v>503.52</v>
      </c>
      <c r="G1517" s="436">
        <f>ROUND(E1517*F1517,2)</f>
        <v>2014.08</v>
      </c>
    </row>
    <row r="1518" spans="2:7" hidden="1" outlineLevel="2">
      <c r="B1518" s="330" t="s">
        <v>1947</v>
      </c>
      <c r="C1518" s="121" t="s">
        <v>1948</v>
      </c>
      <c r="D1518" s="332" t="s">
        <v>69</v>
      </c>
      <c r="E1518" s="332">
        <v>2.96</v>
      </c>
      <c r="F1518" s="325">
        <v>275.04000000000002</v>
      </c>
      <c r="G1518" s="436">
        <f>ROUND(E1518*F1518,2)</f>
        <v>814.12</v>
      </c>
    </row>
    <row r="1519" spans="2:7" hidden="1" outlineLevel="2">
      <c r="B1519" s="331" t="s">
        <v>1949</v>
      </c>
      <c r="C1519" s="324" t="s">
        <v>1950</v>
      </c>
      <c r="D1519" s="332"/>
      <c r="E1519" s="332"/>
      <c r="F1519" s="325"/>
      <c r="G1519" s="435">
        <f>+SUBTOTAL(9,G1520:G1521)</f>
        <v>805.18000000000006</v>
      </c>
    </row>
    <row r="1520" spans="2:7" ht="30" hidden="1" outlineLevel="2">
      <c r="B1520" s="330" t="s">
        <v>1951</v>
      </c>
      <c r="C1520" s="121" t="s">
        <v>1952</v>
      </c>
      <c r="D1520" s="332" t="s">
        <v>43</v>
      </c>
      <c r="E1520" s="332">
        <v>3</v>
      </c>
      <c r="F1520" s="325">
        <v>206.12</v>
      </c>
      <c r="G1520" s="436">
        <f>ROUND(E1520*F1520,2)</f>
        <v>618.36</v>
      </c>
    </row>
    <row r="1521" spans="2:7" hidden="1" outlineLevel="2">
      <c r="B1521" s="330" t="s">
        <v>1953</v>
      </c>
      <c r="C1521" s="121" t="s">
        <v>1954</v>
      </c>
      <c r="D1521" s="332" t="s">
        <v>43</v>
      </c>
      <c r="E1521" s="332">
        <v>1</v>
      </c>
      <c r="F1521" s="325">
        <v>186.82</v>
      </c>
      <c r="G1521" s="436">
        <f>ROUND(E1521*F1521,2)</f>
        <v>186.82</v>
      </c>
    </row>
    <row r="1522" spans="2:7" hidden="1" outlineLevel="2">
      <c r="B1522" s="331" t="s">
        <v>1955</v>
      </c>
      <c r="C1522" s="324" t="s">
        <v>1956</v>
      </c>
      <c r="D1522" s="332"/>
      <c r="E1522" s="332"/>
      <c r="F1522" s="325"/>
      <c r="G1522" s="435">
        <f>+SUBTOTAL(9,G1523)</f>
        <v>1868.2</v>
      </c>
    </row>
    <row r="1523" spans="2:7" ht="30" hidden="1" outlineLevel="2">
      <c r="B1523" s="330" t="s">
        <v>1957</v>
      </c>
      <c r="C1523" s="121" t="s">
        <v>1958</v>
      </c>
      <c r="D1523" s="332" t="s">
        <v>43</v>
      </c>
      <c r="E1523" s="332">
        <v>4</v>
      </c>
      <c r="F1523" s="325">
        <v>467.05</v>
      </c>
      <c r="G1523" s="436">
        <f>ROUND(E1523*F1523,2)</f>
        <v>1868.2</v>
      </c>
    </row>
    <row r="1524" spans="2:7" hidden="1" outlineLevel="2">
      <c r="B1524" s="331" t="s">
        <v>1959</v>
      </c>
      <c r="C1524" s="324" t="s">
        <v>1960</v>
      </c>
      <c r="D1524" s="332"/>
      <c r="E1524" s="332"/>
      <c r="F1524" s="325"/>
      <c r="G1524" s="435">
        <f>+SUBTOTAL(9,G1525)</f>
        <v>3260.19</v>
      </c>
    </row>
    <row r="1525" spans="2:7" ht="30" hidden="1" outlineLevel="2">
      <c r="B1525" s="330" t="s">
        <v>1961</v>
      </c>
      <c r="C1525" s="121" t="s">
        <v>1962</v>
      </c>
      <c r="D1525" s="332" t="s">
        <v>1920</v>
      </c>
      <c r="E1525" s="332">
        <v>0.2</v>
      </c>
      <c r="F1525" s="325">
        <v>16300.96</v>
      </c>
      <c r="G1525" s="436">
        <f>ROUND(E1525*F1525,2)</f>
        <v>3260.19</v>
      </c>
    </row>
    <row r="1526" spans="2:7" hidden="1" outlineLevel="2">
      <c r="B1526" s="331" t="s">
        <v>1963</v>
      </c>
      <c r="C1526" s="324" t="s">
        <v>1964</v>
      </c>
      <c r="D1526" s="332"/>
      <c r="E1526" s="332"/>
      <c r="F1526" s="325"/>
      <c r="G1526" s="435">
        <f>+SUBTOTAL(9,G1527:G1531)</f>
        <v>5181.47</v>
      </c>
    </row>
    <row r="1527" spans="2:7" ht="45" hidden="1" outlineLevel="2">
      <c r="B1527" s="330" t="s">
        <v>1965</v>
      </c>
      <c r="C1527" s="121" t="s">
        <v>1966</v>
      </c>
      <c r="D1527" s="332" t="s">
        <v>1920</v>
      </c>
      <c r="E1527" s="332">
        <v>1</v>
      </c>
      <c r="F1527" s="325">
        <v>1813.82</v>
      </c>
      <c r="G1527" s="436">
        <f>ROUND(E1527*F1527,2)</f>
        <v>1813.82</v>
      </c>
    </row>
    <row r="1528" spans="2:7" ht="45" hidden="1" outlineLevel="2">
      <c r="B1528" s="330" t="s">
        <v>1967</v>
      </c>
      <c r="C1528" s="121" t="s">
        <v>1968</v>
      </c>
      <c r="D1528" s="332" t="s">
        <v>43</v>
      </c>
      <c r="E1528" s="332">
        <v>5</v>
      </c>
      <c r="F1528" s="325">
        <v>61.56</v>
      </c>
      <c r="G1528" s="436">
        <f>ROUND(E1528*F1528,2)</f>
        <v>307.8</v>
      </c>
    </row>
    <row r="1529" spans="2:7" ht="30" hidden="1" outlineLevel="2">
      <c r="B1529" s="330" t="s">
        <v>1969</v>
      </c>
      <c r="C1529" s="121" t="s">
        <v>1970</v>
      </c>
      <c r="D1529" s="332" t="s">
        <v>43</v>
      </c>
      <c r="E1529" s="332">
        <v>3</v>
      </c>
      <c r="F1529" s="325">
        <v>610.13</v>
      </c>
      <c r="G1529" s="436">
        <f>ROUND(E1529*F1529,2)</f>
        <v>1830.39</v>
      </c>
    </row>
    <row r="1530" spans="2:7" hidden="1" outlineLevel="2">
      <c r="B1530" s="330" t="s">
        <v>1971</v>
      </c>
      <c r="C1530" s="121" t="s">
        <v>1972</v>
      </c>
      <c r="D1530" s="332" t="s">
        <v>43</v>
      </c>
      <c r="E1530" s="332">
        <v>1</v>
      </c>
      <c r="F1530" s="325">
        <v>727.78</v>
      </c>
      <c r="G1530" s="436">
        <f>ROUND(E1530*F1530,2)</f>
        <v>727.78</v>
      </c>
    </row>
    <row r="1531" spans="2:7" hidden="1" outlineLevel="2">
      <c r="B1531" s="330" t="s">
        <v>1973</v>
      </c>
      <c r="C1531" s="121" t="s">
        <v>1974</v>
      </c>
      <c r="D1531" s="332" t="s">
        <v>57</v>
      </c>
      <c r="E1531" s="332">
        <v>4.5999999999999996</v>
      </c>
      <c r="F1531" s="325">
        <v>109.06</v>
      </c>
      <c r="G1531" s="436">
        <f>ROUND(E1531*F1531,2)</f>
        <v>501.68</v>
      </c>
    </row>
    <row r="1532" spans="2:7" hidden="1" outlineLevel="2">
      <c r="B1532" s="331" t="s">
        <v>1975</v>
      </c>
      <c r="C1532" s="324" t="s">
        <v>1869</v>
      </c>
      <c r="D1532" s="332"/>
      <c r="E1532" s="332"/>
      <c r="F1532" s="325"/>
      <c r="G1532" s="435">
        <f>+SUBTOTAL(9,G1533:G1534)</f>
        <v>1906.32</v>
      </c>
    </row>
    <row r="1533" spans="2:7" hidden="1" outlineLevel="2">
      <c r="B1533" s="330" t="s">
        <v>1976</v>
      </c>
      <c r="C1533" s="121" t="s">
        <v>1977</v>
      </c>
      <c r="D1533" s="332" t="s">
        <v>1920</v>
      </c>
      <c r="E1533" s="332">
        <v>3</v>
      </c>
      <c r="F1533" s="325">
        <v>517.95000000000005</v>
      </c>
      <c r="G1533" s="436">
        <f>ROUND(E1533*F1533,2)</f>
        <v>1553.85</v>
      </c>
    </row>
    <row r="1534" spans="2:7" ht="30" hidden="1" outlineLevel="2">
      <c r="B1534" s="330" t="s">
        <v>1978</v>
      </c>
      <c r="C1534" s="121" t="s">
        <v>1979</v>
      </c>
      <c r="D1534" s="332" t="s">
        <v>1920</v>
      </c>
      <c r="E1534" s="332">
        <v>1</v>
      </c>
      <c r="F1534" s="325">
        <v>352.47</v>
      </c>
      <c r="G1534" s="436">
        <f>ROUND(E1534*F1534,2)</f>
        <v>352.47</v>
      </c>
    </row>
    <row r="1535" spans="2:7" hidden="1" outlineLevel="2">
      <c r="B1535" s="331" t="s">
        <v>1980</v>
      </c>
      <c r="C1535" s="324" t="s">
        <v>1981</v>
      </c>
      <c r="D1535" s="332"/>
      <c r="E1535" s="332"/>
      <c r="F1535" s="325"/>
      <c r="G1535" s="435">
        <f>+SUBTOTAL(9,G1536)</f>
        <v>2785.98</v>
      </c>
    </row>
    <row r="1536" spans="2:7" hidden="1" outlineLevel="2">
      <c r="B1536" s="330" t="s">
        <v>1982</v>
      </c>
      <c r="C1536" s="121" t="s">
        <v>1983</v>
      </c>
      <c r="D1536" s="332" t="s">
        <v>1923</v>
      </c>
      <c r="E1536" s="332">
        <v>1</v>
      </c>
      <c r="F1536" s="325">
        <v>2785.98</v>
      </c>
      <c r="G1536" s="436">
        <f>ROUND(E1536*F1536,2)</f>
        <v>2785.98</v>
      </c>
    </row>
    <row r="1537" spans="2:7" hidden="1" outlineLevel="2">
      <c r="B1537" s="331" t="s">
        <v>1984</v>
      </c>
      <c r="C1537" s="324" t="s">
        <v>1985</v>
      </c>
      <c r="D1537" s="332"/>
      <c r="E1537" s="332"/>
      <c r="F1537" s="325"/>
      <c r="G1537" s="435">
        <f>+SUBTOTAL(9,G1538:G1573)</f>
        <v>111160.20000000001</v>
      </c>
    </row>
    <row r="1538" spans="2:7" hidden="1" outlineLevel="2">
      <c r="B1538" s="331" t="s">
        <v>1986</v>
      </c>
      <c r="C1538" s="324" t="s">
        <v>1987</v>
      </c>
      <c r="D1538" s="332"/>
      <c r="E1538" s="332"/>
      <c r="F1538" s="325"/>
      <c r="G1538" s="435">
        <f>+SUBTOTAL(9,G1539:G1573)</f>
        <v>111160.20000000001</v>
      </c>
    </row>
    <row r="1539" spans="2:7" hidden="1" outlineLevel="2">
      <c r="B1539" s="331" t="s">
        <v>1988</v>
      </c>
      <c r="C1539" s="324" t="s">
        <v>1886</v>
      </c>
      <c r="D1539" s="332"/>
      <c r="E1539" s="332"/>
      <c r="F1539" s="325"/>
      <c r="G1539" s="435">
        <f>+SUBTOTAL(9,G1540:G1542)</f>
        <v>13067.24</v>
      </c>
    </row>
    <row r="1540" spans="2:7" hidden="1" outlineLevel="2">
      <c r="B1540" s="330" t="s">
        <v>1989</v>
      </c>
      <c r="C1540" s="121" t="s">
        <v>1990</v>
      </c>
      <c r="D1540" s="332" t="s">
        <v>64</v>
      </c>
      <c r="E1540" s="332">
        <v>40</v>
      </c>
      <c r="F1540" s="325">
        <v>175.64</v>
      </c>
      <c r="G1540" s="436">
        <f>ROUND(E1540*F1540,2)</f>
        <v>7025.6</v>
      </c>
    </row>
    <row r="1541" spans="2:7" hidden="1" outlineLevel="2">
      <c r="B1541" s="330" t="s">
        <v>1991</v>
      </c>
      <c r="C1541" s="121" t="s">
        <v>1992</v>
      </c>
      <c r="D1541" s="332" t="s">
        <v>64</v>
      </c>
      <c r="E1541" s="332">
        <v>48</v>
      </c>
      <c r="F1541" s="325">
        <v>104.48</v>
      </c>
      <c r="G1541" s="436">
        <f>ROUND(E1541*F1541,2)</f>
        <v>5015.04</v>
      </c>
    </row>
    <row r="1542" spans="2:7" hidden="1" outlineLevel="2">
      <c r="B1542" s="330" t="s">
        <v>1993</v>
      </c>
      <c r="C1542" s="121" t="s">
        <v>1994</v>
      </c>
      <c r="D1542" s="332" t="s">
        <v>64</v>
      </c>
      <c r="E1542" s="332">
        <v>60</v>
      </c>
      <c r="F1542" s="325">
        <v>17.11</v>
      </c>
      <c r="G1542" s="436">
        <f>ROUND(E1542*F1542,2)</f>
        <v>1026.5999999999999</v>
      </c>
    </row>
    <row r="1543" spans="2:7" hidden="1" outlineLevel="2">
      <c r="B1543" s="331" t="s">
        <v>1995</v>
      </c>
      <c r="C1543" s="324" t="s">
        <v>1996</v>
      </c>
      <c r="D1543" s="332"/>
      <c r="E1543" s="332"/>
      <c r="F1543" s="325"/>
      <c r="G1543" s="435">
        <f>+SUBTOTAL(9,G1544:G1546)</f>
        <v>1851.8799999999999</v>
      </c>
    </row>
    <row r="1544" spans="2:7" hidden="1" outlineLevel="2">
      <c r="B1544" s="330" t="s">
        <v>1997</v>
      </c>
      <c r="C1544" s="121" t="s">
        <v>1998</v>
      </c>
      <c r="D1544" s="332" t="s">
        <v>43</v>
      </c>
      <c r="E1544" s="332">
        <v>1</v>
      </c>
      <c r="F1544" s="325">
        <v>365.69</v>
      </c>
      <c r="G1544" s="436">
        <f>ROUND(E1544*F1544,2)</f>
        <v>365.69</v>
      </c>
    </row>
    <row r="1545" spans="2:7" hidden="1" outlineLevel="2">
      <c r="B1545" s="330" t="s">
        <v>1999</v>
      </c>
      <c r="C1545" s="121" t="s">
        <v>2000</v>
      </c>
      <c r="D1545" s="332" t="s">
        <v>43</v>
      </c>
      <c r="E1545" s="332">
        <v>1</v>
      </c>
      <c r="F1545" s="325">
        <v>810.65</v>
      </c>
      <c r="G1545" s="436">
        <f>ROUND(E1545*F1545,2)</f>
        <v>810.65</v>
      </c>
    </row>
    <row r="1546" spans="2:7" hidden="1" outlineLevel="2">
      <c r="B1546" s="330" t="s">
        <v>2001</v>
      </c>
      <c r="C1546" s="121" t="s">
        <v>2002</v>
      </c>
      <c r="D1546" s="332" t="s">
        <v>43</v>
      </c>
      <c r="E1546" s="332">
        <v>1</v>
      </c>
      <c r="F1546" s="325">
        <v>675.54</v>
      </c>
      <c r="G1546" s="436">
        <f>ROUND(E1546*F1546,2)</f>
        <v>675.54</v>
      </c>
    </row>
    <row r="1547" spans="2:7" hidden="1" outlineLevel="2">
      <c r="B1547" s="331" t="s">
        <v>2003</v>
      </c>
      <c r="C1547" s="324" t="s">
        <v>1905</v>
      </c>
      <c r="D1547" s="332"/>
      <c r="E1547" s="332"/>
      <c r="F1547" s="325"/>
      <c r="G1547" s="435">
        <f>+SUBTOTAL(9,G1548:G1553)</f>
        <v>7163.9400000000005</v>
      </c>
    </row>
    <row r="1548" spans="2:7" ht="30" hidden="1" outlineLevel="2">
      <c r="B1548" s="330" t="s">
        <v>2004</v>
      </c>
      <c r="C1548" s="121" t="s">
        <v>2005</v>
      </c>
      <c r="D1548" s="332" t="s">
        <v>43</v>
      </c>
      <c r="E1548" s="332">
        <v>4</v>
      </c>
      <c r="F1548" s="325">
        <v>1023.61</v>
      </c>
      <c r="G1548" s="436">
        <f t="shared" ref="G1548:G1553" si="32">ROUND(E1548*F1548,2)</f>
        <v>4094.44</v>
      </c>
    </row>
    <row r="1549" spans="2:7" ht="30" hidden="1" outlineLevel="2">
      <c r="B1549" s="330" t="s">
        <v>2006</v>
      </c>
      <c r="C1549" s="121" t="s">
        <v>2007</v>
      </c>
      <c r="D1549" s="332" t="s">
        <v>64</v>
      </c>
      <c r="E1549" s="332">
        <v>16</v>
      </c>
      <c r="F1549" s="325">
        <v>58.82</v>
      </c>
      <c r="G1549" s="436">
        <f t="shared" si="32"/>
        <v>941.12</v>
      </c>
    </row>
    <row r="1550" spans="2:7" ht="30" hidden="1" outlineLevel="2">
      <c r="B1550" s="330" t="s">
        <v>2008</v>
      </c>
      <c r="C1550" s="121" t="s">
        <v>2009</v>
      </c>
      <c r="D1550" s="332" t="s">
        <v>43</v>
      </c>
      <c r="E1550" s="332">
        <v>3</v>
      </c>
      <c r="F1550" s="325">
        <v>333.27</v>
      </c>
      <c r="G1550" s="436">
        <f t="shared" si="32"/>
        <v>999.81</v>
      </c>
    </row>
    <row r="1551" spans="2:7" hidden="1" outlineLevel="2">
      <c r="B1551" s="330" t="s">
        <v>2010</v>
      </c>
      <c r="C1551" s="121" t="s">
        <v>2011</v>
      </c>
      <c r="D1551" s="332" t="s">
        <v>43</v>
      </c>
      <c r="E1551" s="332">
        <v>3</v>
      </c>
      <c r="F1551" s="325">
        <v>265.70999999999998</v>
      </c>
      <c r="G1551" s="436">
        <f t="shared" si="32"/>
        <v>797.13</v>
      </c>
    </row>
    <row r="1552" spans="2:7" hidden="1" outlineLevel="2">
      <c r="B1552" s="330" t="s">
        <v>2012</v>
      </c>
      <c r="C1552" s="121" t="s">
        <v>2013</v>
      </c>
      <c r="D1552" s="332" t="s">
        <v>43</v>
      </c>
      <c r="E1552" s="332">
        <v>6</v>
      </c>
      <c r="F1552" s="325">
        <v>21.25</v>
      </c>
      <c r="G1552" s="436">
        <f t="shared" si="32"/>
        <v>127.5</v>
      </c>
    </row>
    <row r="1553" spans="2:7" hidden="1" outlineLevel="2">
      <c r="B1553" s="330" t="s">
        <v>2014</v>
      </c>
      <c r="C1553" s="121" t="s">
        <v>2015</v>
      </c>
      <c r="D1553" s="332" t="s">
        <v>43</v>
      </c>
      <c r="E1553" s="332">
        <v>9</v>
      </c>
      <c r="F1553" s="325">
        <v>22.66</v>
      </c>
      <c r="G1553" s="436">
        <f t="shared" si="32"/>
        <v>203.94</v>
      </c>
    </row>
    <row r="1554" spans="2:7" hidden="1" outlineLevel="2">
      <c r="B1554" s="331" t="s">
        <v>2016</v>
      </c>
      <c r="C1554" s="324" t="s">
        <v>2017</v>
      </c>
      <c r="D1554" s="332"/>
      <c r="E1554" s="332"/>
      <c r="F1554" s="325"/>
      <c r="G1554" s="435">
        <f>+SUBTOTAL(9,G1555)</f>
        <v>61704.29</v>
      </c>
    </row>
    <row r="1555" spans="2:7" ht="45" hidden="1" outlineLevel="2">
      <c r="B1555" s="330" t="s">
        <v>2018</v>
      </c>
      <c r="C1555" s="121" t="s">
        <v>2019</v>
      </c>
      <c r="D1555" s="332" t="s">
        <v>43</v>
      </c>
      <c r="E1555" s="332">
        <v>1</v>
      </c>
      <c r="F1555" s="325">
        <v>61704.29</v>
      </c>
      <c r="G1555" s="436">
        <f>ROUND(E1555*F1555,2)</f>
        <v>61704.29</v>
      </c>
    </row>
    <row r="1556" spans="2:7" hidden="1" outlineLevel="2">
      <c r="B1556" s="331" t="s">
        <v>2020</v>
      </c>
      <c r="C1556" s="324" t="s">
        <v>2021</v>
      </c>
      <c r="D1556" s="332"/>
      <c r="E1556" s="332"/>
      <c r="F1556" s="325"/>
      <c r="G1556" s="435">
        <f>+SUBTOTAL(9,G1557)</f>
        <v>3152.52</v>
      </c>
    </row>
    <row r="1557" spans="2:7" ht="45" hidden="1" outlineLevel="2">
      <c r="B1557" s="330" t="s">
        <v>2022</v>
      </c>
      <c r="C1557" s="121" t="s">
        <v>2023</v>
      </c>
      <c r="D1557" s="332" t="s">
        <v>43</v>
      </c>
      <c r="E1557" s="332">
        <v>1</v>
      </c>
      <c r="F1557" s="325">
        <v>3152.52</v>
      </c>
      <c r="G1557" s="436">
        <f>ROUND(E1557*F1557,2)</f>
        <v>3152.52</v>
      </c>
    </row>
    <row r="1558" spans="2:7" hidden="1" outlineLevel="2">
      <c r="B1558" s="331" t="s">
        <v>2024</v>
      </c>
      <c r="C1558" s="324" t="s">
        <v>1865</v>
      </c>
      <c r="D1558" s="332"/>
      <c r="E1558" s="332"/>
      <c r="F1558" s="325"/>
      <c r="G1558" s="435">
        <f>+SUBTOTAL(9,G1559)</f>
        <v>1077.67</v>
      </c>
    </row>
    <row r="1559" spans="2:7" hidden="1" outlineLevel="2">
      <c r="B1559" s="330" t="s">
        <v>2025</v>
      </c>
      <c r="C1559" s="121" t="s">
        <v>1903</v>
      </c>
      <c r="D1559" s="332" t="s">
        <v>43</v>
      </c>
      <c r="E1559" s="332">
        <v>1</v>
      </c>
      <c r="F1559" s="325">
        <v>1077.67</v>
      </c>
      <c r="G1559" s="436">
        <f>ROUND(E1559*F1559,2)</f>
        <v>1077.67</v>
      </c>
    </row>
    <row r="1560" spans="2:7" hidden="1" outlineLevel="2">
      <c r="B1560" s="331" t="s">
        <v>2026</v>
      </c>
      <c r="C1560" s="324" t="s">
        <v>1950</v>
      </c>
      <c r="D1560" s="332"/>
      <c r="E1560" s="332"/>
      <c r="F1560" s="325"/>
      <c r="G1560" s="435">
        <f>+SUBTOTAL(9,G1561)</f>
        <v>11536.35</v>
      </c>
    </row>
    <row r="1561" spans="2:7" hidden="1" outlineLevel="2">
      <c r="B1561" s="330" t="s">
        <v>2027</v>
      </c>
      <c r="C1561" s="121" t="s">
        <v>2028</v>
      </c>
      <c r="D1561" s="332" t="s">
        <v>43</v>
      </c>
      <c r="E1561" s="332">
        <v>1</v>
      </c>
      <c r="F1561" s="325">
        <v>11536.35</v>
      </c>
      <c r="G1561" s="436">
        <f>ROUND(E1561*F1561,2)</f>
        <v>11536.35</v>
      </c>
    </row>
    <row r="1562" spans="2:7" hidden="1" outlineLevel="2">
      <c r="B1562" s="331" t="s">
        <v>2029</v>
      </c>
      <c r="C1562" s="324" t="s">
        <v>2030</v>
      </c>
      <c r="D1562" s="332"/>
      <c r="E1562" s="332"/>
      <c r="F1562" s="325"/>
      <c r="G1562" s="435">
        <f>+SUBTOTAL(9,G1563:G1565)</f>
        <v>1624.7000000000003</v>
      </c>
    </row>
    <row r="1563" spans="2:7" ht="30" hidden="1" outlineLevel="2">
      <c r="B1563" s="330" t="s">
        <v>2031</v>
      </c>
      <c r="C1563" s="121" t="s">
        <v>2032</v>
      </c>
      <c r="D1563" s="332" t="s">
        <v>43</v>
      </c>
      <c r="E1563" s="332">
        <v>1</v>
      </c>
      <c r="F1563" s="325">
        <v>99.15</v>
      </c>
      <c r="G1563" s="436">
        <f>ROUND(E1563*F1563,2)</f>
        <v>99.15</v>
      </c>
    </row>
    <row r="1564" spans="2:7" ht="30" hidden="1" outlineLevel="2">
      <c r="B1564" s="330" t="s">
        <v>2033</v>
      </c>
      <c r="C1564" s="121" t="s">
        <v>2034</v>
      </c>
      <c r="D1564" s="332" t="s">
        <v>43</v>
      </c>
      <c r="E1564" s="332">
        <v>4</v>
      </c>
      <c r="F1564" s="325">
        <v>350.73</v>
      </c>
      <c r="G1564" s="436">
        <f>ROUND(E1564*F1564,2)</f>
        <v>1402.92</v>
      </c>
    </row>
    <row r="1565" spans="2:7" hidden="1" outlineLevel="2">
      <c r="B1565" s="330" t="s">
        <v>2035</v>
      </c>
      <c r="C1565" s="121" t="s">
        <v>2036</v>
      </c>
      <c r="D1565" s="332" t="s">
        <v>43</v>
      </c>
      <c r="E1565" s="332">
        <v>1</v>
      </c>
      <c r="F1565" s="325">
        <v>122.63</v>
      </c>
      <c r="G1565" s="436">
        <f>ROUND(E1565*F1565,2)</f>
        <v>122.63</v>
      </c>
    </row>
    <row r="1566" spans="2:7" hidden="1" outlineLevel="2">
      <c r="B1566" s="331" t="s">
        <v>2037</v>
      </c>
      <c r="C1566" s="324" t="s">
        <v>2038</v>
      </c>
      <c r="D1566" s="332"/>
      <c r="E1566" s="332"/>
      <c r="F1566" s="325"/>
      <c r="G1566" s="435">
        <f>+SUBTOTAL(9,G1567)</f>
        <v>99.95</v>
      </c>
    </row>
    <row r="1567" spans="2:7" ht="30" hidden="1" outlineLevel="2">
      <c r="B1567" s="330" t="s">
        <v>2039</v>
      </c>
      <c r="C1567" s="121" t="s">
        <v>2040</v>
      </c>
      <c r="D1567" s="332" t="s">
        <v>43</v>
      </c>
      <c r="E1567" s="332">
        <v>1</v>
      </c>
      <c r="F1567" s="325">
        <v>99.95</v>
      </c>
      <c r="G1567" s="436">
        <f>ROUND(E1567*F1567,2)</f>
        <v>99.95</v>
      </c>
    </row>
    <row r="1568" spans="2:7" hidden="1" outlineLevel="2">
      <c r="B1568" s="331" t="s">
        <v>2041</v>
      </c>
      <c r="C1568" s="324" t="s">
        <v>1943</v>
      </c>
      <c r="D1568" s="332"/>
      <c r="E1568" s="332"/>
      <c r="F1568" s="325"/>
      <c r="G1568" s="435">
        <f>+SUBTOTAL(9,G1569:G1571)</f>
        <v>4095.7799999999997</v>
      </c>
    </row>
    <row r="1569" spans="2:7" hidden="1" outlineLevel="2">
      <c r="B1569" s="330" t="s">
        <v>2042</v>
      </c>
      <c r="C1569" s="121" t="s">
        <v>2043</v>
      </c>
      <c r="D1569" s="332" t="s">
        <v>69</v>
      </c>
      <c r="E1569" s="332">
        <v>4.4400000000000004</v>
      </c>
      <c r="F1569" s="325">
        <v>193.81</v>
      </c>
      <c r="G1569" s="436">
        <f>ROUND(E1569*F1569,2)</f>
        <v>860.52</v>
      </c>
    </row>
    <row r="1570" spans="2:7" hidden="1" outlineLevel="2">
      <c r="B1570" s="330" t="s">
        <v>2044</v>
      </c>
      <c r="C1570" s="121" t="s">
        <v>1946</v>
      </c>
      <c r="D1570" s="332" t="s">
        <v>43</v>
      </c>
      <c r="E1570" s="332">
        <v>4</v>
      </c>
      <c r="F1570" s="325">
        <v>503.52</v>
      </c>
      <c r="G1570" s="436">
        <f>ROUND(E1570*F1570,2)</f>
        <v>2014.08</v>
      </c>
    </row>
    <row r="1571" spans="2:7" hidden="1" outlineLevel="2">
      <c r="B1571" s="330" t="s">
        <v>2045</v>
      </c>
      <c r="C1571" s="121" t="s">
        <v>2046</v>
      </c>
      <c r="D1571" s="332" t="s">
        <v>69</v>
      </c>
      <c r="E1571" s="332">
        <v>4.4400000000000004</v>
      </c>
      <c r="F1571" s="325">
        <v>275.04000000000002</v>
      </c>
      <c r="G1571" s="436">
        <f>ROUND(E1571*F1571,2)</f>
        <v>1221.18</v>
      </c>
    </row>
    <row r="1572" spans="2:7" hidden="1" outlineLevel="2">
      <c r="B1572" s="331" t="s">
        <v>2047</v>
      </c>
      <c r="C1572" s="324" t="s">
        <v>1981</v>
      </c>
      <c r="D1572" s="332"/>
      <c r="E1572" s="332"/>
      <c r="F1572" s="325"/>
      <c r="G1572" s="435">
        <f>+SUBTOTAL(9,G1573)</f>
        <v>5785.88</v>
      </c>
    </row>
    <row r="1573" spans="2:7" hidden="1" outlineLevel="2">
      <c r="B1573" s="330" t="s">
        <v>2048</v>
      </c>
      <c r="C1573" s="121" t="s">
        <v>2049</v>
      </c>
      <c r="D1573" s="332" t="s">
        <v>1923</v>
      </c>
      <c r="E1573" s="332">
        <v>1</v>
      </c>
      <c r="F1573" s="325">
        <v>5785.88</v>
      </c>
      <c r="G1573" s="436">
        <f>ROUND(E1573*F1573,2)</f>
        <v>5785.88</v>
      </c>
    </row>
    <row r="1574" spans="2:7" hidden="1" outlineLevel="2">
      <c r="B1574" s="331" t="s">
        <v>2050</v>
      </c>
      <c r="C1574" s="324" t="s">
        <v>2051</v>
      </c>
      <c r="D1574" s="332"/>
      <c r="E1574" s="332"/>
      <c r="F1574" s="325"/>
      <c r="G1574" s="435">
        <f>+SUBTOTAL(9,G1575:G1628)</f>
        <v>1157793.7699999998</v>
      </c>
    </row>
    <row r="1575" spans="2:7" hidden="1" outlineLevel="2">
      <c r="B1575" s="331" t="s">
        <v>2052</v>
      </c>
      <c r="C1575" s="324" t="s">
        <v>2053</v>
      </c>
      <c r="D1575" s="332"/>
      <c r="E1575" s="332"/>
      <c r="F1575" s="325"/>
      <c r="G1575" s="435">
        <f>+SUBTOTAL(9,G1576:G1586)</f>
        <v>115534.55</v>
      </c>
    </row>
    <row r="1576" spans="2:7" hidden="1" outlineLevel="2">
      <c r="B1576" s="330" t="s">
        <v>2054</v>
      </c>
      <c r="C1576" s="121" t="s">
        <v>2055</v>
      </c>
      <c r="D1576" s="332" t="s">
        <v>43</v>
      </c>
      <c r="E1576" s="332">
        <v>1</v>
      </c>
      <c r="F1576" s="325">
        <v>18237.53</v>
      </c>
      <c r="G1576" s="436">
        <f t="shared" ref="G1576:G1586" si="33">ROUND(E1576*F1576,2)</f>
        <v>18237.53</v>
      </c>
    </row>
    <row r="1577" spans="2:7" hidden="1" outlineLevel="2">
      <c r="B1577" s="330" t="s">
        <v>2056</v>
      </c>
      <c r="C1577" s="121" t="s">
        <v>2057</v>
      </c>
      <c r="D1577" s="332" t="s">
        <v>43</v>
      </c>
      <c r="E1577" s="332">
        <v>1</v>
      </c>
      <c r="F1577" s="325">
        <v>3017.56</v>
      </c>
      <c r="G1577" s="436">
        <f t="shared" si="33"/>
        <v>3017.56</v>
      </c>
    </row>
    <row r="1578" spans="2:7" hidden="1" outlineLevel="2">
      <c r="B1578" s="330" t="s">
        <v>2058</v>
      </c>
      <c r="C1578" s="121" t="s">
        <v>2059</v>
      </c>
      <c r="D1578" s="332" t="s">
        <v>43</v>
      </c>
      <c r="E1578" s="332">
        <v>3</v>
      </c>
      <c r="F1578" s="325">
        <v>344.08</v>
      </c>
      <c r="G1578" s="436">
        <f t="shared" si="33"/>
        <v>1032.24</v>
      </c>
    </row>
    <row r="1579" spans="2:7" hidden="1" outlineLevel="2">
      <c r="B1579" s="330" t="s">
        <v>2060</v>
      </c>
      <c r="C1579" s="121" t="s">
        <v>2061</v>
      </c>
      <c r="D1579" s="332" t="s">
        <v>43</v>
      </c>
      <c r="E1579" s="332">
        <v>5</v>
      </c>
      <c r="F1579" s="325">
        <v>344.08</v>
      </c>
      <c r="G1579" s="436">
        <f t="shared" si="33"/>
        <v>1720.4</v>
      </c>
    </row>
    <row r="1580" spans="2:7" hidden="1" outlineLevel="2">
      <c r="B1580" s="330" t="s">
        <v>2062</v>
      </c>
      <c r="C1580" s="121" t="s">
        <v>2063</v>
      </c>
      <c r="D1580" s="332" t="s">
        <v>43</v>
      </c>
      <c r="E1580" s="332">
        <v>6</v>
      </c>
      <c r="F1580" s="325">
        <v>9541.56</v>
      </c>
      <c r="G1580" s="436">
        <f t="shared" si="33"/>
        <v>57249.36</v>
      </c>
    </row>
    <row r="1581" spans="2:7" hidden="1" outlineLevel="2">
      <c r="B1581" s="330" t="s">
        <v>2064</v>
      </c>
      <c r="C1581" s="121" t="s">
        <v>2065</v>
      </c>
      <c r="D1581" s="332" t="s">
        <v>43</v>
      </c>
      <c r="E1581" s="332">
        <v>1</v>
      </c>
      <c r="F1581" s="325">
        <v>315.25</v>
      </c>
      <c r="G1581" s="436">
        <f t="shared" si="33"/>
        <v>315.25</v>
      </c>
    </row>
    <row r="1582" spans="2:7" hidden="1" outlineLevel="2">
      <c r="B1582" s="330" t="s">
        <v>2066</v>
      </c>
      <c r="C1582" s="121" t="s">
        <v>2067</v>
      </c>
      <c r="D1582" s="332" t="s">
        <v>43</v>
      </c>
      <c r="E1582" s="332">
        <v>1</v>
      </c>
      <c r="F1582" s="325">
        <v>807.04</v>
      </c>
      <c r="G1582" s="436">
        <f t="shared" si="33"/>
        <v>807.04</v>
      </c>
    </row>
    <row r="1583" spans="2:7" hidden="1" outlineLevel="2">
      <c r="B1583" s="330" t="s">
        <v>2068</v>
      </c>
      <c r="C1583" s="121" t="s">
        <v>2069</v>
      </c>
      <c r="D1583" s="332" t="s">
        <v>43</v>
      </c>
      <c r="E1583" s="332">
        <v>1</v>
      </c>
      <c r="F1583" s="325">
        <v>85.57</v>
      </c>
      <c r="G1583" s="436">
        <f t="shared" si="33"/>
        <v>85.57</v>
      </c>
    </row>
    <row r="1584" spans="2:7" hidden="1" outlineLevel="2">
      <c r="B1584" s="330" t="s">
        <v>2070</v>
      </c>
      <c r="C1584" s="121" t="s">
        <v>2071</v>
      </c>
      <c r="D1584" s="332" t="s">
        <v>43</v>
      </c>
      <c r="E1584" s="332">
        <v>1</v>
      </c>
      <c r="F1584" s="325">
        <v>90.07</v>
      </c>
      <c r="G1584" s="436">
        <f t="shared" si="33"/>
        <v>90.07</v>
      </c>
    </row>
    <row r="1585" spans="2:7" hidden="1" outlineLevel="2">
      <c r="B1585" s="330" t="s">
        <v>2072</v>
      </c>
      <c r="C1585" s="121" t="s">
        <v>2073</v>
      </c>
      <c r="D1585" s="332" t="s">
        <v>43</v>
      </c>
      <c r="E1585" s="332">
        <v>2</v>
      </c>
      <c r="F1585" s="325">
        <v>690.57</v>
      </c>
      <c r="G1585" s="436">
        <f t="shared" si="33"/>
        <v>1381.14</v>
      </c>
    </row>
    <row r="1586" spans="2:7" hidden="1" outlineLevel="2">
      <c r="B1586" s="330" t="s">
        <v>2074</v>
      </c>
      <c r="C1586" s="121" t="s">
        <v>2075</v>
      </c>
      <c r="D1586" s="332" t="s">
        <v>1923</v>
      </c>
      <c r="E1586" s="332">
        <v>1</v>
      </c>
      <c r="F1586" s="325">
        <v>31598.39</v>
      </c>
      <c r="G1586" s="436">
        <f t="shared" si="33"/>
        <v>31598.39</v>
      </c>
    </row>
    <row r="1587" spans="2:7" hidden="1" outlineLevel="2">
      <c r="B1587" s="331" t="s">
        <v>2076</v>
      </c>
      <c r="C1587" s="324" t="s">
        <v>2077</v>
      </c>
      <c r="D1587" s="332"/>
      <c r="E1587" s="332"/>
      <c r="F1587" s="325"/>
      <c r="G1587" s="435">
        <f>+SUBTOTAL(9,G1588:G1589)</f>
        <v>20288.86</v>
      </c>
    </row>
    <row r="1588" spans="2:7" hidden="1" outlineLevel="2">
      <c r="B1588" s="330" t="s">
        <v>2078</v>
      </c>
      <c r="C1588" s="121" t="s">
        <v>2079</v>
      </c>
      <c r="D1588" s="332" t="s">
        <v>43</v>
      </c>
      <c r="E1588" s="332">
        <v>1</v>
      </c>
      <c r="F1588" s="325">
        <v>19944.78</v>
      </c>
      <c r="G1588" s="436">
        <f>ROUND(E1588*F1588,2)</f>
        <v>19944.78</v>
      </c>
    </row>
    <row r="1589" spans="2:7" hidden="1" outlineLevel="2">
      <c r="B1589" s="330" t="s">
        <v>2080</v>
      </c>
      <c r="C1589" s="121" t="s">
        <v>2081</v>
      </c>
      <c r="D1589" s="332" t="s">
        <v>43</v>
      </c>
      <c r="E1589" s="332">
        <v>1</v>
      </c>
      <c r="F1589" s="325">
        <v>344.08</v>
      </c>
      <c r="G1589" s="436">
        <f>ROUND(E1589*F1589,2)</f>
        <v>344.08</v>
      </c>
    </row>
    <row r="1590" spans="2:7" hidden="1" outlineLevel="2">
      <c r="B1590" s="331" t="s">
        <v>2082</v>
      </c>
      <c r="C1590" s="324" t="s">
        <v>2083</v>
      </c>
      <c r="D1590" s="332"/>
      <c r="E1590" s="332"/>
      <c r="F1590" s="325"/>
      <c r="G1590" s="435">
        <f>+SUBTOTAL(9,G1591:G1596)</f>
        <v>755942.1399999999</v>
      </c>
    </row>
    <row r="1591" spans="2:7" hidden="1" outlineLevel="2">
      <c r="B1591" s="330" t="s">
        <v>2084</v>
      </c>
      <c r="C1591" s="121" t="s">
        <v>2085</v>
      </c>
      <c r="D1591" s="332" t="s">
        <v>43</v>
      </c>
      <c r="E1591" s="332">
        <v>1</v>
      </c>
      <c r="F1591" s="325">
        <v>89189.759999999995</v>
      </c>
      <c r="G1591" s="436">
        <f t="shared" ref="G1591:G1596" si="34">ROUND(E1591*F1591,2)</f>
        <v>89189.759999999995</v>
      </c>
    </row>
    <row r="1592" spans="2:7" hidden="1" outlineLevel="2">
      <c r="B1592" s="330" t="s">
        <v>2086</v>
      </c>
      <c r="C1592" s="121" t="s">
        <v>2087</v>
      </c>
      <c r="D1592" s="332" t="s">
        <v>43</v>
      </c>
      <c r="E1592" s="332">
        <v>1</v>
      </c>
      <c r="F1592" s="325">
        <v>98191.48</v>
      </c>
      <c r="G1592" s="436">
        <f t="shared" si="34"/>
        <v>98191.48</v>
      </c>
    </row>
    <row r="1593" spans="2:7" hidden="1" outlineLevel="2">
      <c r="B1593" s="330" t="s">
        <v>2088</v>
      </c>
      <c r="C1593" s="121" t="s">
        <v>2089</v>
      </c>
      <c r="D1593" s="332" t="s">
        <v>43</v>
      </c>
      <c r="E1593" s="332">
        <v>1</v>
      </c>
      <c r="F1593" s="325">
        <v>52933.08</v>
      </c>
      <c r="G1593" s="436">
        <f t="shared" si="34"/>
        <v>52933.08</v>
      </c>
    </row>
    <row r="1594" spans="2:7" hidden="1" outlineLevel="2">
      <c r="B1594" s="330" t="s">
        <v>2090</v>
      </c>
      <c r="C1594" s="121" t="s">
        <v>2091</v>
      </c>
      <c r="D1594" s="332" t="s">
        <v>43</v>
      </c>
      <c r="E1594" s="332">
        <v>1</v>
      </c>
      <c r="F1594" s="325">
        <v>171875.94</v>
      </c>
      <c r="G1594" s="436">
        <f t="shared" si="34"/>
        <v>171875.94</v>
      </c>
    </row>
    <row r="1595" spans="2:7" hidden="1" outlineLevel="2">
      <c r="B1595" s="330" t="s">
        <v>2092</v>
      </c>
      <c r="C1595" s="121" t="s">
        <v>2093</v>
      </c>
      <c r="D1595" s="332" t="s">
        <v>43</v>
      </c>
      <c r="E1595" s="332">
        <v>1</v>
      </c>
      <c r="F1595" s="325">
        <v>171875.94</v>
      </c>
      <c r="G1595" s="436">
        <f t="shared" si="34"/>
        <v>171875.94</v>
      </c>
    </row>
    <row r="1596" spans="2:7" hidden="1" outlineLevel="2">
      <c r="B1596" s="330" t="s">
        <v>2094</v>
      </c>
      <c r="C1596" s="121" t="s">
        <v>2095</v>
      </c>
      <c r="D1596" s="332" t="s">
        <v>43</v>
      </c>
      <c r="E1596" s="332">
        <v>1</v>
      </c>
      <c r="F1596" s="325">
        <v>171875.94</v>
      </c>
      <c r="G1596" s="436">
        <f t="shared" si="34"/>
        <v>171875.94</v>
      </c>
    </row>
    <row r="1597" spans="2:7" hidden="1" outlineLevel="2">
      <c r="B1597" s="331" t="s">
        <v>2096</v>
      </c>
      <c r="C1597" s="324" t="s">
        <v>2097</v>
      </c>
      <c r="D1597" s="332"/>
      <c r="E1597" s="332"/>
      <c r="F1597" s="325"/>
      <c r="G1597" s="435">
        <f>+SUBTOTAL(9,G1598:G1621)</f>
        <v>164699.79999999999</v>
      </c>
    </row>
    <row r="1598" spans="2:7" hidden="1" outlineLevel="2">
      <c r="B1598" s="330" t="s">
        <v>2098</v>
      </c>
      <c r="C1598" s="121" t="s">
        <v>2099</v>
      </c>
      <c r="D1598" s="332" t="s">
        <v>64</v>
      </c>
      <c r="E1598" s="332">
        <v>20</v>
      </c>
      <c r="F1598" s="325">
        <v>253.94</v>
      </c>
      <c r="G1598" s="436">
        <f t="shared" ref="G1598:G1621" si="35">ROUND(E1598*F1598,2)</f>
        <v>5078.8</v>
      </c>
    </row>
    <row r="1599" spans="2:7" hidden="1" outlineLevel="2">
      <c r="B1599" s="330" t="s">
        <v>2100</v>
      </c>
      <c r="C1599" s="121" t="s">
        <v>2101</v>
      </c>
      <c r="D1599" s="332" t="s">
        <v>64</v>
      </c>
      <c r="E1599" s="332">
        <v>12</v>
      </c>
      <c r="F1599" s="325">
        <v>386.45</v>
      </c>
      <c r="G1599" s="436">
        <f t="shared" si="35"/>
        <v>4637.3999999999996</v>
      </c>
    </row>
    <row r="1600" spans="2:7" hidden="1" outlineLevel="2">
      <c r="B1600" s="330" t="s">
        <v>2102</v>
      </c>
      <c r="C1600" s="121" t="s">
        <v>2103</v>
      </c>
      <c r="D1600" s="332" t="s">
        <v>64</v>
      </c>
      <c r="E1600" s="332">
        <v>5</v>
      </c>
      <c r="F1600" s="325">
        <v>265.08999999999997</v>
      </c>
      <c r="G1600" s="436">
        <f t="shared" si="35"/>
        <v>1325.45</v>
      </c>
    </row>
    <row r="1601" spans="2:7" hidden="1" outlineLevel="2">
      <c r="B1601" s="330" t="s">
        <v>2104</v>
      </c>
      <c r="C1601" s="121" t="s">
        <v>2105</v>
      </c>
      <c r="D1601" s="332" t="s">
        <v>43</v>
      </c>
      <c r="E1601" s="332">
        <v>1</v>
      </c>
      <c r="F1601" s="325">
        <v>1286.6099999999999</v>
      </c>
      <c r="G1601" s="436">
        <f t="shared" si="35"/>
        <v>1286.6099999999999</v>
      </c>
    </row>
    <row r="1602" spans="2:7" hidden="1" outlineLevel="2">
      <c r="B1602" s="330" t="s">
        <v>2106</v>
      </c>
      <c r="C1602" s="121" t="s">
        <v>2107</v>
      </c>
      <c r="D1602" s="332" t="s">
        <v>43</v>
      </c>
      <c r="E1602" s="332">
        <v>1</v>
      </c>
      <c r="F1602" s="325">
        <v>1233.3699999999999</v>
      </c>
      <c r="G1602" s="436">
        <f t="shared" si="35"/>
        <v>1233.3699999999999</v>
      </c>
    </row>
    <row r="1603" spans="2:7" hidden="1" outlineLevel="2">
      <c r="B1603" s="330" t="s">
        <v>2108</v>
      </c>
      <c r="C1603" s="121" t="s">
        <v>2109</v>
      </c>
      <c r="D1603" s="332" t="s">
        <v>43</v>
      </c>
      <c r="E1603" s="332">
        <v>1</v>
      </c>
      <c r="F1603" s="325">
        <v>1338.67</v>
      </c>
      <c r="G1603" s="436">
        <f t="shared" si="35"/>
        <v>1338.67</v>
      </c>
    </row>
    <row r="1604" spans="2:7" hidden="1" outlineLevel="2">
      <c r="B1604" s="330" t="s">
        <v>2110</v>
      </c>
      <c r="C1604" s="121" t="s">
        <v>2111</v>
      </c>
      <c r="D1604" s="332" t="s">
        <v>64</v>
      </c>
      <c r="E1604" s="332">
        <v>14</v>
      </c>
      <c r="F1604" s="325">
        <v>205.82</v>
      </c>
      <c r="G1604" s="436">
        <f t="shared" si="35"/>
        <v>2881.48</v>
      </c>
    </row>
    <row r="1605" spans="2:7" hidden="1" outlineLevel="2">
      <c r="B1605" s="330" t="s">
        <v>2112</v>
      </c>
      <c r="C1605" s="121" t="s">
        <v>2113</v>
      </c>
      <c r="D1605" s="332" t="s">
        <v>43</v>
      </c>
      <c r="E1605" s="332">
        <v>1</v>
      </c>
      <c r="F1605" s="325">
        <v>1289.68</v>
      </c>
      <c r="G1605" s="436">
        <f t="shared" si="35"/>
        <v>1289.68</v>
      </c>
    </row>
    <row r="1606" spans="2:7" hidden="1" outlineLevel="2">
      <c r="B1606" s="330" t="s">
        <v>2114</v>
      </c>
      <c r="C1606" s="121" t="s">
        <v>2115</v>
      </c>
      <c r="D1606" s="332" t="s">
        <v>43</v>
      </c>
      <c r="E1606" s="332">
        <v>1</v>
      </c>
      <c r="F1606" s="325">
        <v>666.03</v>
      </c>
      <c r="G1606" s="436">
        <f t="shared" si="35"/>
        <v>666.03</v>
      </c>
    </row>
    <row r="1607" spans="2:7" hidden="1" outlineLevel="2">
      <c r="B1607" s="330" t="s">
        <v>2116</v>
      </c>
      <c r="C1607" s="121" t="s">
        <v>2117</v>
      </c>
      <c r="D1607" s="332" t="s">
        <v>43</v>
      </c>
      <c r="E1607" s="332">
        <v>1</v>
      </c>
      <c r="F1607" s="325">
        <v>1073.8900000000001</v>
      </c>
      <c r="G1607" s="436">
        <f t="shared" si="35"/>
        <v>1073.8900000000001</v>
      </c>
    </row>
    <row r="1608" spans="2:7" hidden="1" outlineLevel="2">
      <c r="B1608" s="330" t="s">
        <v>2118</v>
      </c>
      <c r="C1608" s="121" t="s">
        <v>2119</v>
      </c>
      <c r="D1608" s="332" t="s">
        <v>43</v>
      </c>
      <c r="E1608" s="332">
        <v>1</v>
      </c>
      <c r="F1608" s="325">
        <v>2779.14</v>
      </c>
      <c r="G1608" s="436">
        <f t="shared" si="35"/>
        <v>2779.14</v>
      </c>
    </row>
    <row r="1609" spans="2:7" hidden="1" outlineLevel="2">
      <c r="B1609" s="330" t="s">
        <v>2120</v>
      </c>
      <c r="C1609" s="121" t="s">
        <v>2121</v>
      </c>
      <c r="D1609" s="332" t="s">
        <v>43</v>
      </c>
      <c r="E1609" s="332">
        <v>3</v>
      </c>
      <c r="F1609" s="325">
        <v>1289.17</v>
      </c>
      <c r="G1609" s="436">
        <f t="shared" si="35"/>
        <v>3867.51</v>
      </c>
    </row>
    <row r="1610" spans="2:7" hidden="1" outlineLevel="2">
      <c r="B1610" s="330" t="s">
        <v>2122</v>
      </c>
      <c r="C1610" s="121" t="s">
        <v>2123</v>
      </c>
      <c r="D1610" s="332" t="s">
        <v>43</v>
      </c>
      <c r="E1610" s="332">
        <v>6</v>
      </c>
      <c r="F1610" s="325">
        <v>991.97</v>
      </c>
      <c r="G1610" s="436">
        <f t="shared" si="35"/>
        <v>5951.82</v>
      </c>
    </row>
    <row r="1611" spans="2:7" hidden="1" outlineLevel="2">
      <c r="B1611" s="330" t="s">
        <v>2124</v>
      </c>
      <c r="C1611" s="121" t="s">
        <v>2125</v>
      </c>
      <c r="D1611" s="332" t="s">
        <v>43</v>
      </c>
      <c r="E1611" s="332">
        <v>3</v>
      </c>
      <c r="F1611" s="325">
        <v>1643.71</v>
      </c>
      <c r="G1611" s="436">
        <f t="shared" si="35"/>
        <v>4931.13</v>
      </c>
    </row>
    <row r="1612" spans="2:7" hidden="1" outlineLevel="2">
      <c r="B1612" s="330" t="s">
        <v>2126</v>
      </c>
      <c r="C1612" s="121" t="s">
        <v>2127</v>
      </c>
      <c r="D1612" s="332" t="s">
        <v>43</v>
      </c>
      <c r="E1612" s="332">
        <v>1</v>
      </c>
      <c r="F1612" s="325">
        <v>558.29</v>
      </c>
      <c r="G1612" s="436">
        <f t="shared" si="35"/>
        <v>558.29</v>
      </c>
    </row>
    <row r="1613" spans="2:7" hidden="1" outlineLevel="2">
      <c r="B1613" s="330" t="s">
        <v>2128</v>
      </c>
      <c r="C1613" s="121" t="s">
        <v>2129</v>
      </c>
      <c r="D1613" s="332" t="s">
        <v>43</v>
      </c>
      <c r="E1613" s="332">
        <v>1</v>
      </c>
      <c r="F1613" s="325">
        <v>3094.32</v>
      </c>
      <c r="G1613" s="436">
        <f t="shared" si="35"/>
        <v>3094.32</v>
      </c>
    </row>
    <row r="1614" spans="2:7" hidden="1" outlineLevel="2">
      <c r="B1614" s="330" t="s">
        <v>2130</v>
      </c>
      <c r="C1614" s="121" t="s">
        <v>2131</v>
      </c>
      <c r="D1614" s="332" t="s">
        <v>43</v>
      </c>
      <c r="E1614" s="332">
        <v>1</v>
      </c>
      <c r="F1614" s="325">
        <v>5452.28</v>
      </c>
      <c r="G1614" s="436">
        <f t="shared" si="35"/>
        <v>5452.28</v>
      </c>
    </row>
    <row r="1615" spans="2:7" hidden="1" outlineLevel="2">
      <c r="B1615" s="330" t="s">
        <v>2132</v>
      </c>
      <c r="C1615" s="121" t="s">
        <v>2133</v>
      </c>
      <c r="D1615" s="332" t="s">
        <v>43</v>
      </c>
      <c r="E1615" s="332">
        <v>1</v>
      </c>
      <c r="F1615" s="325">
        <v>5920.57</v>
      </c>
      <c r="G1615" s="436">
        <f t="shared" si="35"/>
        <v>5920.57</v>
      </c>
    </row>
    <row r="1616" spans="2:7" hidden="1" outlineLevel="2">
      <c r="B1616" s="330" t="s">
        <v>2134</v>
      </c>
      <c r="C1616" s="121" t="s">
        <v>2135</v>
      </c>
      <c r="D1616" s="332" t="s">
        <v>43</v>
      </c>
      <c r="E1616" s="332">
        <v>1</v>
      </c>
      <c r="F1616" s="325">
        <v>5845.36</v>
      </c>
      <c r="G1616" s="436">
        <f t="shared" si="35"/>
        <v>5845.36</v>
      </c>
    </row>
    <row r="1617" spans="2:7" hidden="1" outlineLevel="2">
      <c r="B1617" s="330" t="s">
        <v>2136</v>
      </c>
      <c r="C1617" s="121" t="s">
        <v>2137</v>
      </c>
      <c r="D1617" s="332" t="s">
        <v>43</v>
      </c>
      <c r="E1617" s="332">
        <v>1</v>
      </c>
      <c r="F1617" s="325">
        <v>5770.15</v>
      </c>
      <c r="G1617" s="436">
        <f t="shared" si="35"/>
        <v>5770.15</v>
      </c>
    </row>
    <row r="1618" spans="2:7" hidden="1" outlineLevel="2">
      <c r="B1618" s="330" t="s">
        <v>2138</v>
      </c>
      <c r="C1618" s="121" t="s">
        <v>2139</v>
      </c>
      <c r="D1618" s="332" t="s">
        <v>43</v>
      </c>
      <c r="E1618" s="332">
        <v>1</v>
      </c>
      <c r="F1618" s="325">
        <v>5357.7</v>
      </c>
      <c r="G1618" s="436">
        <f t="shared" si="35"/>
        <v>5357.7</v>
      </c>
    </row>
    <row r="1619" spans="2:7" hidden="1" outlineLevel="2">
      <c r="B1619" s="330" t="s">
        <v>2140</v>
      </c>
      <c r="C1619" s="121" t="s">
        <v>2141</v>
      </c>
      <c r="D1619" s="332" t="s">
        <v>43</v>
      </c>
      <c r="E1619" s="332">
        <v>2</v>
      </c>
      <c r="F1619" s="325">
        <v>2750.07</v>
      </c>
      <c r="G1619" s="436">
        <f t="shared" si="35"/>
        <v>5500.14</v>
      </c>
    </row>
    <row r="1620" spans="2:7" hidden="1" outlineLevel="2">
      <c r="B1620" s="330" t="s">
        <v>2142</v>
      </c>
      <c r="C1620" s="121" t="s">
        <v>2143</v>
      </c>
      <c r="D1620" s="332" t="s">
        <v>64</v>
      </c>
      <c r="E1620" s="332">
        <v>91</v>
      </c>
      <c r="F1620" s="325">
        <v>483.76</v>
      </c>
      <c r="G1620" s="436">
        <f t="shared" si="35"/>
        <v>44022.16</v>
      </c>
    </row>
    <row r="1621" spans="2:7" hidden="1" outlineLevel="2">
      <c r="B1621" s="330" t="s">
        <v>2144</v>
      </c>
      <c r="C1621" s="121" t="s">
        <v>2145</v>
      </c>
      <c r="D1621" s="332" t="s">
        <v>43</v>
      </c>
      <c r="E1621" s="332">
        <v>1</v>
      </c>
      <c r="F1621" s="325">
        <v>44837.85</v>
      </c>
      <c r="G1621" s="436">
        <f t="shared" si="35"/>
        <v>44837.85</v>
      </c>
    </row>
    <row r="1622" spans="2:7" hidden="1" outlineLevel="2">
      <c r="B1622" s="331" t="s">
        <v>2146</v>
      </c>
      <c r="C1622" s="324" t="s">
        <v>2147</v>
      </c>
      <c r="D1622" s="332"/>
      <c r="E1622" s="332"/>
      <c r="F1622" s="325"/>
      <c r="G1622" s="435">
        <f>+SUBTOTAL(9,G1623:G1628)</f>
        <v>101328.42</v>
      </c>
    </row>
    <row r="1623" spans="2:7" hidden="1" outlineLevel="2">
      <c r="B1623" s="330" t="s">
        <v>2148</v>
      </c>
      <c r="C1623" s="121" t="s">
        <v>2149</v>
      </c>
      <c r="D1623" s="332" t="s">
        <v>43</v>
      </c>
      <c r="E1623" s="332">
        <v>10</v>
      </c>
      <c r="F1623" s="325">
        <v>378.44</v>
      </c>
      <c r="G1623" s="436">
        <f t="shared" ref="G1623:G1628" si="36">ROUND(E1623*F1623,2)</f>
        <v>3784.4</v>
      </c>
    </row>
    <row r="1624" spans="2:7" hidden="1" outlineLevel="2">
      <c r="B1624" s="330" t="s">
        <v>2150</v>
      </c>
      <c r="C1624" s="121" t="s">
        <v>2151</v>
      </c>
      <c r="D1624" s="332" t="s">
        <v>1923</v>
      </c>
      <c r="E1624" s="332">
        <v>1</v>
      </c>
      <c r="F1624" s="325">
        <v>7758.1</v>
      </c>
      <c r="G1624" s="436">
        <f t="shared" si="36"/>
        <v>7758.1</v>
      </c>
    </row>
    <row r="1625" spans="2:7" hidden="1" outlineLevel="2">
      <c r="B1625" s="330" t="s">
        <v>2152</v>
      </c>
      <c r="C1625" s="121" t="s">
        <v>2153</v>
      </c>
      <c r="D1625" s="332" t="s">
        <v>1923</v>
      </c>
      <c r="E1625" s="332">
        <v>1</v>
      </c>
      <c r="F1625" s="325">
        <v>5582.04</v>
      </c>
      <c r="G1625" s="436">
        <f t="shared" si="36"/>
        <v>5582.04</v>
      </c>
    </row>
    <row r="1626" spans="2:7" hidden="1" outlineLevel="2">
      <c r="B1626" s="330" t="s">
        <v>2154</v>
      </c>
      <c r="C1626" s="121" t="s">
        <v>2155</v>
      </c>
      <c r="D1626" s="332" t="s">
        <v>1923</v>
      </c>
      <c r="E1626" s="332">
        <v>2</v>
      </c>
      <c r="F1626" s="325">
        <v>3784.44</v>
      </c>
      <c r="G1626" s="436">
        <f t="shared" si="36"/>
        <v>7568.88</v>
      </c>
    </row>
    <row r="1627" spans="2:7" hidden="1" outlineLevel="2">
      <c r="B1627" s="330" t="s">
        <v>2156</v>
      </c>
      <c r="C1627" s="121" t="s">
        <v>2157</v>
      </c>
      <c r="D1627" s="332" t="s">
        <v>2158</v>
      </c>
      <c r="E1627" s="332">
        <v>5</v>
      </c>
      <c r="F1627" s="325">
        <v>8514.99</v>
      </c>
      <c r="G1627" s="436">
        <f t="shared" si="36"/>
        <v>42574.95</v>
      </c>
    </row>
    <row r="1628" spans="2:7" hidden="1" outlineLevel="2">
      <c r="B1628" s="330" t="s">
        <v>2159</v>
      </c>
      <c r="C1628" s="121" t="s">
        <v>2160</v>
      </c>
      <c r="D1628" s="332" t="s">
        <v>2158</v>
      </c>
      <c r="E1628" s="332">
        <v>5</v>
      </c>
      <c r="F1628" s="325">
        <v>6812.01</v>
      </c>
      <c r="G1628" s="436">
        <f t="shared" si="36"/>
        <v>34060.050000000003</v>
      </c>
    </row>
    <row r="1629" spans="2:7" hidden="1" outlineLevel="1" collapsed="1">
      <c r="B1629" s="331">
        <v>2.02</v>
      </c>
      <c r="C1629" s="324" t="s">
        <v>2161</v>
      </c>
      <c r="D1629" s="332"/>
      <c r="E1629" s="332"/>
      <c r="F1629" s="325"/>
      <c r="G1629" s="435">
        <f>+SUBTOTAL(9,G1630:G1946)</f>
        <v>2966868.2299999995</v>
      </c>
    </row>
    <row r="1630" spans="2:7" hidden="1" outlineLevel="2">
      <c r="B1630" s="331" t="s">
        <v>2162</v>
      </c>
      <c r="C1630" s="324" t="s">
        <v>1647</v>
      </c>
      <c r="D1630" s="332"/>
      <c r="E1630" s="332"/>
      <c r="F1630" s="325"/>
      <c r="G1630" s="435">
        <f>+SUBTOTAL(9,G1631:G1680)</f>
        <v>1475698.23</v>
      </c>
    </row>
    <row r="1631" spans="2:7" hidden="1" outlineLevel="2">
      <c r="B1631" s="331" t="s">
        <v>2163</v>
      </c>
      <c r="C1631" s="324" t="s">
        <v>2164</v>
      </c>
      <c r="D1631" s="332"/>
      <c r="E1631" s="332"/>
      <c r="F1631" s="325"/>
      <c r="G1631" s="435">
        <f>+SUBTOTAL(9,G1632:G1633)</f>
        <v>31431.360000000001</v>
      </c>
    </row>
    <row r="1632" spans="2:7" hidden="1" outlineLevel="2">
      <c r="B1632" s="330" t="s">
        <v>2165</v>
      </c>
      <c r="C1632" s="121" t="s">
        <v>1651</v>
      </c>
      <c r="D1632" s="332" t="s">
        <v>64</v>
      </c>
      <c r="E1632" s="332">
        <v>12.03</v>
      </c>
      <c r="F1632" s="325">
        <v>2126.33</v>
      </c>
      <c r="G1632" s="436">
        <f>ROUND(E1632*F1632,2)</f>
        <v>25579.75</v>
      </c>
    </row>
    <row r="1633" spans="2:7" hidden="1" outlineLevel="2">
      <c r="B1633" s="330" t="s">
        <v>2166</v>
      </c>
      <c r="C1633" s="121" t="s">
        <v>2167</v>
      </c>
      <c r="D1633" s="332" t="s">
        <v>43</v>
      </c>
      <c r="E1633" s="332">
        <v>1</v>
      </c>
      <c r="F1633" s="325">
        <v>5851.61</v>
      </c>
      <c r="G1633" s="436">
        <f>ROUND(E1633*F1633,2)</f>
        <v>5851.61</v>
      </c>
    </row>
    <row r="1634" spans="2:7" hidden="1" outlineLevel="2">
      <c r="B1634" s="331" t="s">
        <v>2168</v>
      </c>
      <c r="C1634" s="324" t="s">
        <v>2169</v>
      </c>
      <c r="D1634" s="332"/>
      <c r="E1634" s="332"/>
      <c r="F1634" s="325"/>
      <c r="G1634" s="435">
        <f>+SUBTOTAL(9,G1635:G1652)</f>
        <v>111324.03000000001</v>
      </c>
    </row>
    <row r="1635" spans="2:7" hidden="1" outlineLevel="2">
      <c r="B1635" s="330" t="s">
        <v>2170</v>
      </c>
      <c r="C1635" s="121" t="s">
        <v>1651</v>
      </c>
      <c r="D1635" s="332" t="s">
        <v>64</v>
      </c>
      <c r="E1635" s="332">
        <v>9.2899999999999991</v>
      </c>
      <c r="F1635" s="325">
        <v>2126.33</v>
      </c>
      <c r="G1635" s="436">
        <f t="shared" ref="G1635:G1652" si="37">ROUND(E1635*F1635,2)</f>
        <v>19753.61</v>
      </c>
    </row>
    <row r="1636" spans="2:7" hidden="1" outlineLevel="2">
      <c r="B1636" s="330" t="s">
        <v>2171</v>
      </c>
      <c r="C1636" s="121" t="s">
        <v>2172</v>
      </c>
      <c r="D1636" s="332" t="s">
        <v>64</v>
      </c>
      <c r="E1636" s="332">
        <v>5.32</v>
      </c>
      <c r="F1636" s="325">
        <v>1274.3900000000001</v>
      </c>
      <c r="G1636" s="436">
        <f t="shared" si="37"/>
        <v>6779.75</v>
      </c>
    </row>
    <row r="1637" spans="2:7" hidden="1" outlineLevel="2">
      <c r="B1637" s="330" t="s">
        <v>2173</v>
      </c>
      <c r="C1637" s="121" t="s">
        <v>1661</v>
      </c>
      <c r="D1637" s="332" t="s">
        <v>43</v>
      </c>
      <c r="E1637" s="332">
        <v>6</v>
      </c>
      <c r="F1637" s="325">
        <v>5429</v>
      </c>
      <c r="G1637" s="436">
        <f t="shared" si="37"/>
        <v>32574</v>
      </c>
    </row>
    <row r="1638" spans="2:7" hidden="1" outlineLevel="2">
      <c r="B1638" s="330" t="s">
        <v>2174</v>
      </c>
      <c r="C1638" s="121" t="s">
        <v>2175</v>
      </c>
      <c r="D1638" s="332" t="s">
        <v>43</v>
      </c>
      <c r="E1638" s="332">
        <v>5</v>
      </c>
      <c r="F1638" s="325">
        <v>3152.43</v>
      </c>
      <c r="G1638" s="436">
        <f t="shared" si="37"/>
        <v>15762.15</v>
      </c>
    </row>
    <row r="1639" spans="2:7" hidden="1" outlineLevel="2">
      <c r="B1639" s="330" t="s">
        <v>2176</v>
      </c>
      <c r="C1639" s="121" t="s">
        <v>1665</v>
      </c>
      <c r="D1639" s="332" t="s">
        <v>43</v>
      </c>
      <c r="E1639" s="332">
        <v>2</v>
      </c>
      <c r="F1639" s="325">
        <v>1124.9100000000001</v>
      </c>
      <c r="G1639" s="436">
        <f t="shared" si="37"/>
        <v>2249.8200000000002</v>
      </c>
    </row>
    <row r="1640" spans="2:7" hidden="1" outlineLevel="2">
      <c r="B1640" s="330" t="s">
        <v>2177</v>
      </c>
      <c r="C1640" s="121" t="s">
        <v>2178</v>
      </c>
      <c r="D1640" s="332" t="s">
        <v>43</v>
      </c>
      <c r="E1640" s="332">
        <v>1</v>
      </c>
      <c r="F1640" s="325">
        <v>843.66</v>
      </c>
      <c r="G1640" s="436">
        <f t="shared" si="37"/>
        <v>843.66</v>
      </c>
    </row>
    <row r="1641" spans="2:7" hidden="1" outlineLevel="2">
      <c r="B1641" s="330" t="s">
        <v>2179</v>
      </c>
      <c r="C1641" s="121" t="s">
        <v>1667</v>
      </c>
      <c r="D1641" s="332" t="s">
        <v>43</v>
      </c>
      <c r="E1641" s="332">
        <v>128</v>
      </c>
      <c r="F1641" s="325">
        <v>24</v>
      </c>
      <c r="G1641" s="436">
        <f t="shared" si="37"/>
        <v>3072</v>
      </c>
    </row>
    <row r="1642" spans="2:7" hidden="1" outlineLevel="2">
      <c r="B1642" s="330" t="s">
        <v>2180</v>
      </c>
      <c r="C1642" s="121" t="s">
        <v>2181</v>
      </c>
      <c r="D1642" s="332" t="s">
        <v>43</v>
      </c>
      <c r="E1642" s="332">
        <v>72</v>
      </c>
      <c r="F1642" s="325">
        <v>16.350000000000001</v>
      </c>
      <c r="G1642" s="436">
        <f t="shared" si="37"/>
        <v>1177.2</v>
      </c>
    </row>
    <row r="1643" spans="2:7" hidden="1" outlineLevel="2">
      <c r="B1643" s="330" t="s">
        <v>2182</v>
      </c>
      <c r="C1643" s="121" t="s">
        <v>1671</v>
      </c>
      <c r="D1643" s="332" t="s">
        <v>43</v>
      </c>
      <c r="E1643" s="332">
        <v>8</v>
      </c>
      <c r="F1643" s="325">
        <v>28.1</v>
      </c>
      <c r="G1643" s="436">
        <f t="shared" si="37"/>
        <v>224.8</v>
      </c>
    </row>
    <row r="1644" spans="2:7" hidden="1" outlineLevel="2">
      <c r="B1644" s="330" t="s">
        <v>2183</v>
      </c>
      <c r="C1644" s="121" t="s">
        <v>2184</v>
      </c>
      <c r="D1644" s="332" t="s">
        <v>43</v>
      </c>
      <c r="E1644" s="332">
        <v>6</v>
      </c>
      <c r="F1644" s="325">
        <v>18.32</v>
      </c>
      <c r="G1644" s="436">
        <f t="shared" si="37"/>
        <v>109.92</v>
      </c>
    </row>
    <row r="1645" spans="2:7" hidden="1" outlineLevel="2">
      <c r="B1645" s="330" t="s">
        <v>2185</v>
      </c>
      <c r="C1645" s="121" t="s">
        <v>2186</v>
      </c>
      <c r="D1645" s="332" t="s">
        <v>43</v>
      </c>
      <c r="E1645" s="332">
        <v>1</v>
      </c>
      <c r="F1645" s="325">
        <v>1749.78</v>
      </c>
      <c r="G1645" s="436">
        <f t="shared" si="37"/>
        <v>1749.78</v>
      </c>
    </row>
    <row r="1646" spans="2:7" hidden="1" outlineLevel="2">
      <c r="B1646" s="330" t="s">
        <v>2187</v>
      </c>
      <c r="C1646" s="121" t="s">
        <v>2188</v>
      </c>
      <c r="D1646" s="332" t="s">
        <v>43</v>
      </c>
      <c r="E1646" s="332">
        <v>1</v>
      </c>
      <c r="F1646" s="325">
        <v>920.94</v>
      </c>
      <c r="G1646" s="436">
        <f t="shared" si="37"/>
        <v>920.94</v>
      </c>
    </row>
    <row r="1647" spans="2:7" hidden="1" outlineLevel="2">
      <c r="B1647" s="330" t="s">
        <v>2189</v>
      </c>
      <c r="C1647" s="121" t="s">
        <v>2190</v>
      </c>
      <c r="D1647" s="332" t="s">
        <v>43</v>
      </c>
      <c r="E1647" s="332">
        <v>2</v>
      </c>
      <c r="F1647" s="325">
        <v>1407.72</v>
      </c>
      <c r="G1647" s="436">
        <f t="shared" si="37"/>
        <v>2815.44</v>
      </c>
    </row>
    <row r="1648" spans="2:7" hidden="1" outlineLevel="2">
      <c r="B1648" s="330" t="s">
        <v>2191</v>
      </c>
      <c r="C1648" s="121" t="s">
        <v>2192</v>
      </c>
      <c r="D1648" s="332" t="s">
        <v>43</v>
      </c>
      <c r="E1648" s="332">
        <v>2</v>
      </c>
      <c r="F1648" s="325">
        <v>1013.03</v>
      </c>
      <c r="G1648" s="436">
        <f t="shared" si="37"/>
        <v>2026.06</v>
      </c>
    </row>
    <row r="1649" spans="2:7" hidden="1" outlineLevel="2">
      <c r="B1649" s="330" t="s">
        <v>2193</v>
      </c>
      <c r="C1649" s="121" t="s">
        <v>2194</v>
      </c>
      <c r="D1649" s="332" t="s">
        <v>43</v>
      </c>
      <c r="E1649" s="332">
        <v>1</v>
      </c>
      <c r="F1649" s="325">
        <v>3446.48</v>
      </c>
      <c r="G1649" s="436">
        <f t="shared" si="37"/>
        <v>3446.48</v>
      </c>
    </row>
    <row r="1650" spans="2:7" hidden="1" outlineLevel="2">
      <c r="B1650" s="330" t="s">
        <v>2195</v>
      </c>
      <c r="C1650" s="121" t="s">
        <v>1689</v>
      </c>
      <c r="D1650" s="332" t="s">
        <v>43</v>
      </c>
      <c r="E1650" s="332">
        <v>1</v>
      </c>
      <c r="F1650" s="325">
        <v>3372.24</v>
      </c>
      <c r="G1650" s="436">
        <f t="shared" si="37"/>
        <v>3372.24</v>
      </c>
    </row>
    <row r="1651" spans="2:7" hidden="1" outlineLevel="2">
      <c r="B1651" s="330" t="s">
        <v>2196</v>
      </c>
      <c r="C1651" s="121" t="s">
        <v>1693</v>
      </c>
      <c r="D1651" s="332" t="s">
        <v>43</v>
      </c>
      <c r="E1651" s="332">
        <v>1</v>
      </c>
      <c r="F1651" s="325">
        <v>8594.57</v>
      </c>
      <c r="G1651" s="436">
        <f t="shared" si="37"/>
        <v>8594.57</v>
      </c>
    </row>
    <row r="1652" spans="2:7" hidden="1" outlineLevel="2">
      <c r="B1652" s="330" t="s">
        <v>2197</v>
      </c>
      <c r="C1652" s="121" t="s">
        <v>2198</v>
      </c>
      <c r="D1652" s="332" t="s">
        <v>43</v>
      </c>
      <c r="E1652" s="332">
        <v>1</v>
      </c>
      <c r="F1652" s="325">
        <v>5851.61</v>
      </c>
      <c r="G1652" s="436">
        <f t="shared" si="37"/>
        <v>5851.61</v>
      </c>
    </row>
    <row r="1653" spans="2:7" hidden="1" outlineLevel="2">
      <c r="B1653" s="331" t="s">
        <v>2199</v>
      </c>
      <c r="C1653" s="324" t="s">
        <v>2200</v>
      </c>
      <c r="D1653" s="332"/>
      <c r="E1653" s="332"/>
      <c r="F1653" s="325"/>
      <c r="G1653" s="435">
        <f>+SUBTOTAL(9,G1654:G1655)</f>
        <v>19232.71</v>
      </c>
    </row>
    <row r="1654" spans="2:7" hidden="1" outlineLevel="2">
      <c r="B1654" s="330" t="s">
        <v>2201</v>
      </c>
      <c r="C1654" s="121" t="s">
        <v>2172</v>
      </c>
      <c r="D1654" s="332" t="s">
        <v>64</v>
      </c>
      <c r="E1654" s="332">
        <v>10.5</v>
      </c>
      <c r="F1654" s="325">
        <v>1274.3900000000001</v>
      </c>
      <c r="G1654" s="436">
        <f>ROUND(E1654*F1654,2)</f>
        <v>13381.1</v>
      </c>
    </row>
    <row r="1655" spans="2:7" ht="30" hidden="1" outlineLevel="2">
      <c r="B1655" s="330" t="s">
        <v>2202</v>
      </c>
      <c r="C1655" s="121" t="s">
        <v>2203</v>
      </c>
      <c r="D1655" s="332" t="s">
        <v>43</v>
      </c>
      <c r="E1655" s="332">
        <v>1</v>
      </c>
      <c r="F1655" s="325">
        <v>5851.61</v>
      </c>
      <c r="G1655" s="436">
        <f>ROUND(E1655*F1655,2)</f>
        <v>5851.61</v>
      </c>
    </row>
    <row r="1656" spans="2:7" hidden="1" outlineLevel="2">
      <c r="B1656" s="331" t="s">
        <v>2204</v>
      </c>
      <c r="C1656" s="324" t="s">
        <v>2205</v>
      </c>
      <c r="D1656" s="332"/>
      <c r="E1656" s="332"/>
      <c r="F1656" s="325"/>
      <c r="G1656" s="435">
        <f>+SUBTOTAL(9,G1657:G1658)</f>
        <v>11212.369999999999</v>
      </c>
    </row>
    <row r="1657" spans="2:7" hidden="1" outlineLevel="2">
      <c r="B1657" s="330" t="s">
        <v>2206</v>
      </c>
      <c r="C1657" s="121" t="s">
        <v>2207</v>
      </c>
      <c r="D1657" s="332" t="s">
        <v>64</v>
      </c>
      <c r="E1657" s="332">
        <v>7.73</v>
      </c>
      <c r="F1657" s="325">
        <v>693.5</v>
      </c>
      <c r="G1657" s="436">
        <f>ROUND(E1657*F1657,2)</f>
        <v>5360.76</v>
      </c>
    </row>
    <row r="1658" spans="2:7" hidden="1" outlineLevel="2">
      <c r="B1658" s="330" t="s">
        <v>2208</v>
      </c>
      <c r="C1658" s="121" t="s">
        <v>2209</v>
      </c>
      <c r="D1658" s="332" t="s">
        <v>43</v>
      </c>
      <c r="E1658" s="332">
        <v>1</v>
      </c>
      <c r="F1658" s="325">
        <v>5851.61</v>
      </c>
      <c r="G1658" s="436">
        <f>ROUND(E1658*F1658,2)</f>
        <v>5851.61</v>
      </c>
    </row>
    <row r="1659" spans="2:7" hidden="1" outlineLevel="2">
      <c r="B1659" s="331" t="s">
        <v>2210</v>
      </c>
      <c r="C1659" s="324" t="s">
        <v>2211</v>
      </c>
      <c r="D1659" s="332"/>
      <c r="E1659" s="332"/>
      <c r="F1659" s="325"/>
      <c r="G1659" s="435">
        <f>+SUBTOTAL(9,G1660:G1661)</f>
        <v>5899.46</v>
      </c>
    </row>
    <row r="1660" spans="2:7" hidden="1" outlineLevel="2">
      <c r="B1660" s="330" t="s">
        <v>2212</v>
      </c>
      <c r="C1660" s="121" t="s">
        <v>2213</v>
      </c>
      <c r="D1660" s="332" t="s">
        <v>64</v>
      </c>
      <c r="E1660" s="332">
        <v>0.4</v>
      </c>
      <c r="F1660" s="325">
        <v>119.63</v>
      </c>
      <c r="G1660" s="436">
        <f>ROUND(E1660*F1660,2)</f>
        <v>47.85</v>
      </c>
    </row>
    <row r="1661" spans="2:7" hidden="1" outlineLevel="2">
      <c r="B1661" s="330" t="s">
        <v>2214</v>
      </c>
      <c r="C1661" s="121" t="s">
        <v>2215</v>
      </c>
      <c r="D1661" s="332" t="s">
        <v>43</v>
      </c>
      <c r="E1661" s="332">
        <v>1</v>
      </c>
      <c r="F1661" s="325">
        <v>5851.61</v>
      </c>
      <c r="G1661" s="436">
        <f>ROUND(E1661*F1661,2)</f>
        <v>5851.61</v>
      </c>
    </row>
    <row r="1662" spans="2:7" hidden="1" outlineLevel="2">
      <c r="B1662" s="331" t="s">
        <v>2216</v>
      </c>
      <c r="C1662" s="324" t="s">
        <v>2217</v>
      </c>
      <c r="D1662" s="332"/>
      <c r="E1662" s="332"/>
      <c r="F1662" s="325"/>
      <c r="G1662" s="435">
        <f>+SUBTOTAL(9,G1663:G1664)</f>
        <v>14734.11</v>
      </c>
    </row>
    <row r="1663" spans="2:7" hidden="1" outlineLevel="2">
      <c r="B1663" s="330" t="s">
        <v>2218</v>
      </c>
      <c r="C1663" s="121" t="s">
        <v>2172</v>
      </c>
      <c r="D1663" s="332" t="s">
        <v>64</v>
      </c>
      <c r="E1663" s="332">
        <v>6.97</v>
      </c>
      <c r="F1663" s="325">
        <v>1274.3900000000001</v>
      </c>
      <c r="G1663" s="436">
        <f>ROUND(E1663*F1663,2)</f>
        <v>8882.5</v>
      </c>
    </row>
    <row r="1664" spans="2:7" hidden="1" outlineLevel="2">
      <c r="B1664" s="330" t="s">
        <v>2219</v>
      </c>
      <c r="C1664" s="121" t="s">
        <v>2220</v>
      </c>
      <c r="D1664" s="332" t="s">
        <v>43</v>
      </c>
      <c r="E1664" s="332">
        <v>1</v>
      </c>
      <c r="F1664" s="325">
        <v>5851.61</v>
      </c>
      <c r="G1664" s="436">
        <f>ROUND(E1664*F1664,2)</f>
        <v>5851.61</v>
      </c>
    </row>
    <row r="1665" spans="2:7" hidden="1" outlineLevel="2">
      <c r="B1665" s="331" t="s">
        <v>2221</v>
      </c>
      <c r="C1665" s="324" t="s">
        <v>2222</v>
      </c>
      <c r="D1665" s="332"/>
      <c r="E1665" s="332"/>
      <c r="F1665" s="325"/>
      <c r="G1665" s="435">
        <f>+SUBTOTAL(9,G1666:G1667)</f>
        <v>11434.29</v>
      </c>
    </row>
    <row r="1666" spans="2:7" hidden="1" outlineLevel="2">
      <c r="B1666" s="330" t="s">
        <v>2223</v>
      </c>
      <c r="C1666" s="121" t="s">
        <v>2207</v>
      </c>
      <c r="D1666" s="332" t="s">
        <v>64</v>
      </c>
      <c r="E1666" s="332">
        <v>8.0500000000000007</v>
      </c>
      <c r="F1666" s="325">
        <v>693.5</v>
      </c>
      <c r="G1666" s="436">
        <f>ROUND(E1666*F1666,2)</f>
        <v>5582.68</v>
      </c>
    </row>
    <row r="1667" spans="2:7" hidden="1" outlineLevel="2">
      <c r="B1667" s="330" t="s">
        <v>2224</v>
      </c>
      <c r="C1667" s="121" t="s">
        <v>2225</v>
      </c>
      <c r="D1667" s="332" t="s">
        <v>43</v>
      </c>
      <c r="E1667" s="332">
        <v>1</v>
      </c>
      <c r="F1667" s="325">
        <v>5851.61</v>
      </c>
      <c r="G1667" s="436">
        <f>ROUND(E1667*F1667,2)</f>
        <v>5851.61</v>
      </c>
    </row>
    <row r="1668" spans="2:7" hidden="1" outlineLevel="2">
      <c r="B1668" s="331" t="s">
        <v>2226</v>
      </c>
      <c r="C1668" s="324" t="s">
        <v>2227</v>
      </c>
      <c r="D1668" s="332"/>
      <c r="E1668" s="332"/>
      <c r="F1668" s="325"/>
      <c r="G1668" s="435">
        <f>+SUBTOTAL(9,G1669:G1670)</f>
        <v>6051.3899999999994</v>
      </c>
    </row>
    <row r="1669" spans="2:7" hidden="1" outlineLevel="2">
      <c r="B1669" s="330" t="s">
        <v>2228</v>
      </c>
      <c r="C1669" s="121" t="s">
        <v>2213</v>
      </c>
      <c r="D1669" s="332" t="s">
        <v>64</v>
      </c>
      <c r="E1669" s="332">
        <v>1.67</v>
      </c>
      <c r="F1669" s="325">
        <v>119.63</v>
      </c>
      <c r="G1669" s="436">
        <f>ROUND(E1669*F1669,2)</f>
        <v>199.78</v>
      </c>
    </row>
    <row r="1670" spans="2:7" hidden="1" outlineLevel="2">
      <c r="B1670" s="330" t="s">
        <v>2229</v>
      </c>
      <c r="C1670" s="121" t="s">
        <v>2230</v>
      </c>
      <c r="D1670" s="332" t="s">
        <v>43</v>
      </c>
      <c r="E1670" s="332">
        <v>1</v>
      </c>
      <c r="F1670" s="325">
        <v>5851.61</v>
      </c>
      <c r="G1670" s="436">
        <f>ROUND(E1670*F1670,2)</f>
        <v>5851.61</v>
      </c>
    </row>
    <row r="1671" spans="2:7" hidden="1" outlineLevel="2">
      <c r="B1671" s="331" t="s">
        <v>2231</v>
      </c>
      <c r="C1671" s="324" t="s">
        <v>2232</v>
      </c>
      <c r="D1671" s="332"/>
      <c r="E1671" s="332"/>
      <c r="F1671" s="325"/>
      <c r="G1671" s="435">
        <f>+SUBTOTAL(9,G1672:G1673)</f>
        <v>5899.46</v>
      </c>
    </row>
    <row r="1672" spans="2:7" hidden="1" outlineLevel="2">
      <c r="B1672" s="330" t="s">
        <v>2233</v>
      </c>
      <c r="C1672" s="121" t="s">
        <v>2213</v>
      </c>
      <c r="D1672" s="332" t="s">
        <v>64</v>
      </c>
      <c r="E1672" s="332">
        <v>0.4</v>
      </c>
      <c r="F1672" s="325">
        <v>119.63</v>
      </c>
      <c r="G1672" s="436">
        <f>ROUND(E1672*F1672,2)</f>
        <v>47.85</v>
      </c>
    </row>
    <row r="1673" spans="2:7" hidden="1" outlineLevel="2">
      <c r="B1673" s="330" t="s">
        <v>2234</v>
      </c>
      <c r="C1673" s="121" t="s">
        <v>2235</v>
      </c>
      <c r="D1673" s="332" t="s">
        <v>43</v>
      </c>
      <c r="E1673" s="332">
        <v>1</v>
      </c>
      <c r="F1673" s="325">
        <v>5851.61</v>
      </c>
      <c r="G1673" s="436">
        <f>ROUND(E1673*F1673,2)</f>
        <v>5851.61</v>
      </c>
    </row>
    <row r="1674" spans="2:7" hidden="1" outlineLevel="2">
      <c r="B1674" s="331" t="s">
        <v>2236</v>
      </c>
      <c r="C1674" s="324" t="s">
        <v>1717</v>
      </c>
      <c r="D1674" s="332"/>
      <c r="E1674" s="332"/>
      <c r="F1674" s="325"/>
      <c r="G1674" s="435">
        <f>+SUBTOTAL(9,G1675:G1680)</f>
        <v>1258479.05</v>
      </c>
    </row>
    <row r="1675" spans="2:7" hidden="1" outlineLevel="2">
      <c r="B1675" s="331" t="s">
        <v>2237</v>
      </c>
      <c r="C1675" s="324" t="s">
        <v>1719</v>
      </c>
      <c r="D1675" s="332"/>
      <c r="E1675" s="332"/>
      <c r="F1675" s="325"/>
      <c r="G1675" s="435">
        <f>+SUBTOTAL(9,G1676:G1680)</f>
        <v>1258479.05</v>
      </c>
    </row>
    <row r="1676" spans="2:7" hidden="1" outlineLevel="2">
      <c r="B1676" s="330" t="s">
        <v>2238</v>
      </c>
      <c r="C1676" s="121" t="s">
        <v>2239</v>
      </c>
      <c r="D1676" s="332" t="s">
        <v>43</v>
      </c>
      <c r="E1676" s="332">
        <v>2</v>
      </c>
      <c r="F1676" s="325">
        <v>467426.01</v>
      </c>
      <c r="G1676" s="436">
        <f>ROUND(E1676*F1676,2)</f>
        <v>934852.02</v>
      </c>
    </row>
    <row r="1677" spans="2:7" hidden="1" outlineLevel="2">
      <c r="B1677" s="330" t="s">
        <v>2240</v>
      </c>
      <c r="C1677" s="121" t="s">
        <v>2241</v>
      </c>
      <c r="D1677" s="332" t="s">
        <v>43</v>
      </c>
      <c r="E1677" s="332">
        <v>1</v>
      </c>
      <c r="F1677" s="325">
        <v>88800.67</v>
      </c>
      <c r="G1677" s="436">
        <f>ROUND(E1677*F1677,2)</f>
        <v>88800.67</v>
      </c>
    </row>
    <row r="1678" spans="2:7" hidden="1" outlineLevel="2">
      <c r="B1678" s="330" t="s">
        <v>2242</v>
      </c>
      <c r="C1678" s="121" t="s">
        <v>2243</v>
      </c>
      <c r="D1678" s="332" t="s">
        <v>43</v>
      </c>
      <c r="E1678" s="332">
        <v>1</v>
      </c>
      <c r="F1678" s="325">
        <v>95224.38</v>
      </c>
      <c r="G1678" s="436">
        <f>ROUND(E1678*F1678,2)</f>
        <v>95224.38</v>
      </c>
    </row>
    <row r="1679" spans="2:7" hidden="1" outlineLevel="2">
      <c r="B1679" s="330" t="s">
        <v>2244</v>
      </c>
      <c r="C1679" s="121" t="s">
        <v>2245</v>
      </c>
      <c r="D1679" s="332" t="s">
        <v>43</v>
      </c>
      <c r="E1679" s="332">
        <v>2</v>
      </c>
      <c r="F1679" s="325">
        <v>31014.2</v>
      </c>
      <c r="G1679" s="436">
        <f>ROUND(E1679*F1679,2)</f>
        <v>62028.4</v>
      </c>
    </row>
    <row r="1680" spans="2:7" hidden="1" outlineLevel="2">
      <c r="B1680" s="330" t="s">
        <v>2246</v>
      </c>
      <c r="C1680" s="121" t="s">
        <v>2247</v>
      </c>
      <c r="D1680" s="332" t="s">
        <v>43</v>
      </c>
      <c r="E1680" s="332">
        <v>3</v>
      </c>
      <c r="F1680" s="325">
        <v>25857.86</v>
      </c>
      <c r="G1680" s="436">
        <f>ROUND(E1680*F1680,2)</f>
        <v>77573.58</v>
      </c>
    </row>
    <row r="1681" spans="2:7" hidden="1" outlineLevel="2">
      <c r="B1681" s="331" t="s">
        <v>2248</v>
      </c>
      <c r="C1681" s="324" t="s">
        <v>1731</v>
      </c>
      <c r="D1681" s="332"/>
      <c r="E1681" s="332"/>
      <c r="F1681" s="325"/>
      <c r="G1681" s="435">
        <f>+SUBTOTAL(9,G1682:G1859)</f>
        <v>409512.58000000007</v>
      </c>
    </row>
    <row r="1682" spans="2:7" hidden="1" outlineLevel="2">
      <c r="B1682" s="331" t="s">
        <v>2249</v>
      </c>
      <c r="C1682" s="324" t="s">
        <v>1733</v>
      </c>
      <c r="D1682" s="332"/>
      <c r="E1682" s="332"/>
      <c r="F1682" s="325"/>
      <c r="G1682" s="435">
        <f>+SUBTOTAL(9,G1683:G1690)</f>
        <v>10264.43</v>
      </c>
    </row>
    <row r="1683" spans="2:7" hidden="1" outlineLevel="2">
      <c r="B1683" s="330" t="s">
        <v>2250</v>
      </c>
      <c r="C1683" s="121" t="s">
        <v>1735</v>
      </c>
      <c r="D1683" s="332" t="s">
        <v>43</v>
      </c>
      <c r="E1683" s="332">
        <v>4</v>
      </c>
      <c r="F1683" s="325">
        <v>76.59</v>
      </c>
      <c r="G1683" s="436">
        <f t="shared" ref="G1683:G1690" si="38">ROUND(E1683*F1683,2)</f>
        <v>306.36</v>
      </c>
    </row>
    <row r="1684" spans="2:7" hidden="1" outlineLevel="2">
      <c r="B1684" s="330" t="s">
        <v>2251</v>
      </c>
      <c r="C1684" s="121" t="s">
        <v>1737</v>
      </c>
      <c r="D1684" s="332" t="s">
        <v>43</v>
      </c>
      <c r="E1684" s="332">
        <v>36</v>
      </c>
      <c r="F1684" s="325">
        <v>149.63999999999999</v>
      </c>
      <c r="G1684" s="436">
        <f t="shared" si="38"/>
        <v>5387.04</v>
      </c>
    </row>
    <row r="1685" spans="2:7" hidden="1" outlineLevel="2">
      <c r="B1685" s="330" t="s">
        <v>2252</v>
      </c>
      <c r="C1685" s="121" t="s">
        <v>1739</v>
      </c>
      <c r="D1685" s="332" t="s">
        <v>43</v>
      </c>
      <c r="E1685" s="332">
        <v>12</v>
      </c>
      <c r="F1685" s="325">
        <v>81.680000000000007</v>
      </c>
      <c r="G1685" s="436">
        <f t="shared" si="38"/>
        <v>980.16</v>
      </c>
    </row>
    <row r="1686" spans="2:7" hidden="1" outlineLevel="2">
      <c r="B1686" s="330" t="s">
        <v>2253</v>
      </c>
      <c r="C1686" s="121" t="s">
        <v>1743</v>
      </c>
      <c r="D1686" s="332" t="s">
        <v>43</v>
      </c>
      <c r="E1686" s="332">
        <v>1</v>
      </c>
      <c r="F1686" s="325">
        <v>72.3</v>
      </c>
      <c r="G1686" s="436">
        <f t="shared" si="38"/>
        <v>72.3</v>
      </c>
    </row>
    <row r="1687" spans="2:7" ht="30" hidden="1" outlineLevel="2">
      <c r="B1687" s="330" t="s">
        <v>2254</v>
      </c>
      <c r="C1687" s="121" t="s">
        <v>1745</v>
      </c>
      <c r="D1687" s="332" t="s">
        <v>441</v>
      </c>
      <c r="E1687" s="332">
        <v>4</v>
      </c>
      <c r="F1687" s="325">
        <v>196.54</v>
      </c>
      <c r="G1687" s="436">
        <f t="shared" si="38"/>
        <v>786.16</v>
      </c>
    </row>
    <row r="1688" spans="2:7" hidden="1" outlineLevel="2">
      <c r="B1688" s="330" t="s">
        <v>2255</v>
      </c>
      <c r="C1688" s="121" t="s">
        <v>1747</v>
      </c>
      <c r="D1688" s="332" t="s">
        <v>441</v>
      </c>
      <c r="E1688" s="332">
        <v>3</v>
      </c>
      <c r="F1688" s="325">
        <v>199.96</v>
      </c>
      <c r="G1688" s="436">
        <f t="shared" si="38"/>
        <v>599.88</v>
      </c>
    </row>
    <row r="1689" spans="2:7" hidden="1" outlineLevel="2">
      <c r="B1689" s="330" t="s">
        <v>2256</v>
      </c>
      <c r="C1689" s="121" t="s">
        <v>1751</v>
      </c>
      <c r="D1689" s="332" t="s">
        <v>43</v>
      </c>
      <c r="E1689" s="332">
        <v>2</v>
      </c>
      <c r="F1689" s="325">
        <v>172.52</v>
      </c>
      <c r="G1689" s="436">
        <f t="shared" si="38"/>
        <v>345.04</v>
      </c>
    </row>
    <row r="1690" spans="2:7" hidden="1" outlineLevel="2">
      <c r="B1690" s="330" t="s">
        <v>2257</v>
      </c>
      <c r="C1690" s="121" t="s">
        <v>1753</v>
      </c>
      <c r="D1690" s="332" t="s">
        <v>43</v>
      </c>
      <c r="E1690" s="332">
        <v>9</v>
      </c>
      <c r="F1690" s="325">
        <v>198.61</v>
      </c>
      <c r="G1690" s="436">
        <f t="shared" si="38"/>
        <v>1787.49</v>
      </c>
    </row>
    <row r="1691" spans="2:7" hidden="1" outlineLevel="2">
      <c r="B1691" s="331" t="s">
        <v>2258</v>
      </c>
      <c r="C1691" s="324" t="s">
        <v>1755</v>
      </c>
      <c r="D1691" s="332"/>
      <c r="E1691" s="332"/>
      <c r="F1691" s="325"/>
      <c r="G1691" s="435">
        <f>+SUBTOTAL(9,G1692:G1700)</f>
        <v>10738.35</v>
      </c>
    </row>
    <row r="1692" spans="2:7" hidden="1" outlineLevel="2">
      <c r="B1692" s="330" t="s">
        <v>2259</v>
      </c>
      <c r="C1692" s="121" t="s">
        <v>2260</v>
      </c>
      <c r="D1692" s="332" t="s">
        <v>64</v>
      </c>
      <c r="E1692" s="332">
        <v>25.5</v>
      </c>
      <c r="F1692" s="325">
        <v>134.57</v>
      </c>
      <c r="G1692" s="436">
        <f t="shared" ref="G1692:G1700" si="39">ROUND(E1692*F1692,2)</f>
        <v>3431.54</v>
      </c>
    </row>
    <row r="1693" spans="2:7" hidden="1" outlineLevel="2">
      <c r="B1693" s="330" t="s">
        <v>2261</v>
      </c>
      <c r="C1693" s="121" t="s">
        <v>1759</v>
      </c>
      <c r="D1693" s="332" t="s">
        <v>64</v>
      </c>
      <c r="E1693" s="332">
        <v>5.6</v>
      </c>
      <c r="F1693" s="325">
        <v>23.81</v>
      </c>
      <c r="G1693" s="436">
        <f t="shared" si="39"/>
        <v>133.34</v>
      </c>
    </row>
    <row r="1694" spans="2:7" hidden="1" outlineLevel="2">
      <c r="B1694" s="330" t="s">
        <v>2262</v>
      </c>
      <c r="C1694" s="121" t="s">
        <v>2263</v>
      </c>
      <c r="D1694" s="332" t="s">
        <v>64</v>
      </c>
      <c r="E1694" s="332">
        <v>91.6</v>
      </c>
      <c r="F1694" s="325">
        <v>24.32</v>
      </c>
      <c r="G1694" s="436">
        <f t="shared" si="39"/>
        <v>2227.71</v>
      </c>
    </row>
    <row r="1695" spans="2:7" hidden="1" outlineLevel="2">
      <c r="B1695" s="330" t="s">
        <v>2264</v>
      </c>
      <c r="C1695" s="121" t="s">
        <v>1763</v>
      </c>
      <c r="D1695" s="332" t="s">
        <v>64</v>
      </c>
      <c r="E1695" s="332">
        <v>5.6</v>
      </c>
      <c r="F1695" s="325">
        <v>19.71</v>
      </c>
      <c r="G1695" s="436">
        <f t="shared" si="39"/>
        <v>110.38</v>
      </c>
    </row>
    <row r="1696" spans="2:7" hidden="1" outlineLevel="2">
      <c r="B1696" s="330" t="s">
        <v>2265</v>
      </c>
      <c r="C1696" s="121" t="s">
        <v>1765</v>
      </c>
      <c r="D1696" s="332" t="s">
        <v>64</v>
      </c>
      <c r="E1696" s="332">
        <v>60.2</v>
      </c>
      <c r="F1696" s="325">
        <v>5.61</v>
      </c>
      <c r="G1696" s="436">
        <f t="shared" si="39"/>
        <v>337.72</v>
      </c>
    </row>
    <row r="1697" spans="2:7" hidden="1" outlineLevel="2">
      <c r="B1697" s="330" t="s">
        <v>2266</v>
      </c>
      <c r="C1697" s="121" t="s">
        <v>1767</v>
      </c>
      <c r="D1697" s="332" t="s">
        <v>64</v>
      </c>
      <c r="E1697" s="332">
        <v>145.9</v>
      </c>
      <c r="F1697" s="325">
        <v>5.52</v>
      </c>
      <c r="G1697" s="436">
        <f t="shared" si="39"/>
        <v>805.37</v>
      </c>
    </row>
    <row r="1698" spans="2:7" hidden="1" outlineLevel="2">
      <c r="B1698" s="330" t="s">
        <v>2267</v>
      </c>
      <c r="C1698" s="121" t="s">
        <v>1771</v>
      </c>
      <c r="D1698" s="332" t="s">
        <v>64</v>
      </c>
      <c r="E1698" s="332">
        <v>6.2</v>
      </c>
      <c r="F1698" s="325">
        <v>52.58</v>
      </c>
      <c r="G1698" s="436">
        <f t="shared" si="39"/>
        <v>326</v>
      </c>
    </row>
    <row r="1699" spans="2:7" hidden="1" outlineLevel="2">
      <c r="B1699" s="330" t="s">
        <v>2268</v>
      </c>
      <c r="C1699" s="121" t="s">
        <v>1773</v>
      </c>
      <c r="D1699" s="332" t="s">
        <v>64</v>
      </c>
      <c r="E1699" s="332">
        <v>149.30000000000001</v>
      </c>
      <c r="F1699" s="325">
        <v>18.7</v>
      </c>
      <c r="G1699" s="436">
        <f t="shared" si="39"/>
        <v>2791.91</v>
      </c>
    </row>
    <row r="1700" spans="2:7" hidden="1" outlineLevel="2">
      <c r="B1700" s="330" t="s">
        <v>2269</v>
      </c>
      <c r="C1700" s="121" t="s">
        <v>1775</v>
      </c>
      <c r="D1700" s="332" t="s">
        <v>64</v>
      </c>
      <c r="E1700" s="332">
        <v>3</v>
      </c>
      <c r="F1700" s="325">
        <v>191.46</v>
      </c>
      <c r="G1700" s="436">
        <f t="shared" si="39"/>
        <v>574.38</v>
      </c>
    </row>
    <row r="1701" spans="2:7" hidden="1" outlineLevel="2">
      <c r="B1701" s="331" t="s">
        <v>2270</v>
      </c>
      <c r="C1701" s="324" t="s">
        <v>1777</v>
      </c>
      <c r="D1701" s="332"/>
      <c r="E1701" s="332"/>
      <c r="F1701" s="325"/>
      <c r="G1701" s="435">
        <f>+SUBTOTAL(9,G1702:G1715)</f>
        <v>69159.28</v>
      </c>
    </row>
    <row r="1702" spans="2:7" hidden="1" outlineLevel="2">
      <c r="B1702" s="330" t="s">
        <v>2271</v>
      </c>
      <c r="C1702" s="121" t="s">
        <v>2272</v>
      </c>
      <c r="D1702" s="332" t="s">
        <v>64</v>
      </c>
      <c r="E1702" s="332">
        <v>62.3</v>
      </c>
      <c r="F1702" s="325">
        <v>242.18</v>
      </c>
      <c r="G1702" s="436">
        <f t="shared" ref="G1702:G1715" si="40">ROUND(E1702*F1702,2)</f>
        <v>15087.81</v>
      </c>
    </row>
    <row r="1703" spans="2:7" hidden="1" outlineLevel="2">
      <c r="B1703" s="330" t="s">
        <v>2273</v>
      </c>
      <c r="C1703" s="121" t="s">
        <v>2274</v>
      </c>
      <c r="D1703" s="332" t="s">
        <v>64</v>
      </c>
      <c r="E1703" s="332">
        <v>16.899999999999999</v>
      </c>
      <c r="F1703" s="325">
        <v>99.57</v>
      </c>
      <c r="G1703" s="436">
        <f t="shared" si="40"/>
        <v>1682.73</v>
      </c>
    </row>
    <row r="1704" spans="2:7" hidden="1" outlineLevel="2">
      <c r="B1704" s="330" t="s">
        <v>2275</v>
      </c>
      <c r="C1704" s="121" t="s">
        <v>2276</v>
      </c>
      <c r="D1704" s="332" t="s">
        <v>64</v>
      </c>
      <c r="E1704" s="332">
        <v>50.8</v>
      </c>
      <c r="F1704" s="325">
        <v>74.11</v>
      </c>
      <c r="G1704" s="436">
        <f t="shared" si="40"/>
        <v>3764.79</v>
      </c>
    </row>
    <row r="1705" spans="2:7" hidden="1" outlineLevel="2">
      <c r="B1705" s="330" t="s">
        <v>2277</v>
      </c>
      <c r="C1705" s="121" t="s">
        <v>1785</v>
      </c>
      <c r="D1705" s="332" t="s">
        <v>64</v>
      </c>
      <c r="E1705" s="332">
        <v>102.1</v>
      </c>
      <c r="F1705" s="325">
        <v>32.68</v>
      </c>
      <c r="G1705" s="436">
        <f t="shared" si="40"/>
        <v>3336.63</v>
      </c>
    </row>
    <row r="1706" spans="2:7" hidden="1" outlineLevel="2">
      <c r="B1706" s="330" t="s">
        <v>2278</v>
      </c>
      <c r="C1706" s="121" t="s">
        <v>1787</v>
      </c>
      <c r="D1706" s="332" t="s">
        <v>64</v>
      </c>
      <c r="E1706" s="332">
        <v>36</v>
      </c>
      <c r="F1706" s="325">
        <v>35.74</v>
      </c>
      <c r="G1706" s="436">
        <f t="shared" si="40"/>
        <v>1286.6400000000001</v>
      </c>
    </row>
    <row r="1707" spans="2:7" hidden="1" outlineLevel="2">
      <c r="B1707" s="330" t="s">
        <v>2279</v>
      </c>
      <c r="C1707" s="121" t="s">
        <v>1789</v>
      </c>
      <c r="D1707" s="332" t="s">
        <v>64</v>
      </c>
      <c r="E1707" s="332">
        <v>21</v>
      </c>
      <c r="F1707" s="325">
        <v>23.89</v>
      </c>
      <c r="G1707" s="436">
        <f t="shared" si="40"/>
        <v>501.69</v>
      </c>
    </row>
    <row r="1708" spans="2:7" hidden="1" outlineLevel="2">
      <c r="B1708" s="330" t="s">
        <v>2280</v>
      </c>
      <c r="C1708" s="121" t="s">
        <v>2281</v>
      </c>
      <c r="D1708" s="332" t="s">
        <v>64</v>
      </c>
      <c r="E1708" s="332">
        <v>50.8</v>
      </c>
      <c r="F1708" s="325">
        <v>50.3</v>
      </c>
      <c r="G1708" s="436">
        <f t="shared" si="40"/>
        <v>2555.2399999999998</v>
      </c>
    </row>
    <row r="1709" spans="2:7" hidden="1" outlineLevel="2">
      <c r="B1709" s="330" t="s">
        <v>2282</v>
      </c>
      <c r="C1709" s="121" t="s">
        <v>1795</v>
      </c>
      <c r="D1709" s="332" t="s">
        <v>64</v>
      </c>
      <c r="E1709" s="332">
        <v>102.1</v>
      </c>
      <c r="F1709" s="325">
        <v>35.74</v>
      </c>
      <c r="G1709" s="436">
        <f t="shared" si="40"/>
        <v>3649.05</v>
      </c>
    </row>
    <row r="1710" spans="2:7" hidden="1" outlineLevel="2">
      <c r="B1710" s="330" t="s">
        <v>2283</v>
      </c>
      <c r="C1710" s="121" t="s">
        <v>2284</v>
      </c>
      <c r="D1710" s="332" t="s">
        <v>64</v>
      </c>
      <c r="E1710" s="332">
        <v>36</v>
      </c>
      <c r="F1710" s="325">
        <v>23.89</v>
      </c>
      <c r="G1710" s="436">
        <f t="shared" si="40"/>
        <v>860.04</v>
      </c>
    </row>
    <row r="1711" spans="2:7" hidden="1" outlineLevel="2">
      <c r="B1711" s="330" t="s">
        <v>2285</v>
      </c>
      <c r="C1711" s="121" t="s">
        <v>1797</v>
      </c>
      <c r="D1711" s="332" t="s">
        <v>64</v>
      </c>
      <c r="E1711" s="332">
        <v>272</v>
      </c>
      <c r="F1711" s="325">
        <v>17.37</v>
      </c>
      <c r="G1711" s="436">
        <f t="shared" si="40"/>
        <v>4724.6400000000003</v>
      </c>
    </row>
    <row r="1712" spans="2:7" hidden="1" outlineLevel="2">
      <c r="B1712" s="330" t="s">
        <v>2286</v>
      </c>
      <c r="C1712" s="121" t="s">
        <v>1799</v>
      </c>
      <c r="D1712" s="332" t="s">
        <v>64</v>
      </c>
      <c r="E1712" s="332">
        <v>498.6</v>
      </c>
      <c r="F1712" s="325">
        <v>35.74</v>
      </c>
      <c r="G1712" s="436">
        <f t="shared" si="40"/>
        <v>17819.96</v>
      </c>
    </row>
    <row r="1713" spans="2:7" hidden="1" outlineLevel="2">
      <c r="B1713" s="330" t="s">
        <v>2287</v>
      </c>
      <c r="C1713" s="121" t="s">
        <v>1801</v>
      </c>
      <c r="D1713" s="332" t="s">
        <v>64</v>
      </c>
      <c r="E1713" s="332">
        <v>452</v>
      </c>
      <c r="F1713" s="325">
        <v>8.3699999999999992</v>
      </c>
      <c r="G1713" s="436">
        <f t="shared" si="40"/>
        <v>3783.24</v>
      </c>
    </row>
    <row r="1714" spans="2:7" ht="30" hidden="1" outlineLevel="2">
      <c r="B1714" s="330" t="s">
        <v>2288</v>
      </c>
      <c r="C1714" s="121" t="s">
        <v>1803</v>
      </c>
      <c r="D1714" s="332" t="s">
        <v>64</v>
      </c>
      <c r="E1714" s="332">
        <v>226</v>
      </c>
      <c r="F1714" s="325">
        <v>8.3699999999999992</v>
      </c>
      <c r="G1714" s="436">
        <f t="shared" si="40"/>
        <v>1891.62</v>
      </c>
    </row>
    <row r="1715" spans="2:7" hidden="1" outlineLevel="2">
      <c r="B1715" s="330" t="s">
        <v>2289</v>
      </c>
      <c r="C1715" s="121" t="s">
        <v>1805</v>
      </c>
      <c r="D1715" s="332" t="s">
        <v>64</v>
      </c>
      <c r="E1715" s="332">
        <v>112</v>
      </c>
      <c r="F1715" s="325">
        <v>73.349999999999994</v>
      </c>
      <c r="G1715" s="436">
        <f t="shared" si="40"/>
        <v>8215.2000000000007</v>
      </c>
    </row>
    <row r="1716" spans="2:7" hidden="1" outlineLevel="2">
      <c r="B1716" s="331" t="s">
        <v>2290</v>
      </c>
      <c r="C1716" s="324" t="s">
        <v>1807</v>
      </c>
      <c r="D1716" s="332"/>
      <c r="E1716" s="332"/>
      <c r="F1716" s="325"/>
      <c r="G1716" s="435">
        <f>+SUBTOTAL(9,G1717)</f>
        <v>12768.68</v>
      </c>
    </row>
    <row r="1717" spans="2:7" hidden="1" outlineLevel="2">
      <c r="B1717" s="330" t="s">
        <v>2291</v>
      </c>
      <c r="C1717" s="121" t="s">
        <v>1809</v>
      </c>
      <c r="D1717" s="332" t="s">
        <v>43</v>
      </c>
      <c r="E1717" s="332">
        <v>4</v>
      </c>
      <c r="F1717" s="325">
        <v>3192.17</v>
      </c>
      <c r="G1717" s="436">
        <f>ROUND(E1717*F1717,2)</f>
        <v>12768.68</v>
      </c>
    </row>
    <row r="1718" spans="2:7" hidden="1" outlineLevel="2">
      <c r="B1718" s="331" t="s">
        <v>2292</v>
      </c>
      <c r="C1718" s="324" t="s">
        <v>1813</v>
      </c>
      <c r="D1718" s="332"/>
      <c r="E1718" s="332"/>
      <c r="F1718" s="325"/>
      <c r="G1718" s="435">
        <f>+SUBTOTAL(9,G1719:G1727)</f>
        <v>8273.27</v>
      </c>
    </row>
    <row r="1719" spans="2:7" hidden="1" outlineLevel="2">
      <c r="B1719" s="330" t="s">
        <v>2293</v>
      </c>
      <c r="C1719" s="121" t="s">
        <v>2294</v>
      </c>
      <c r="D1719" s="332" t="s">
        <v>43</v>
      </c>
      <c r="E1719" s="332">
        <v>1</v>
      </c>
      <c r="F1719" s="325">
        <v>96.94</v>
      </c>
      <c r="G1719" s="436">
        <f t="shared" ref="G1719:G1727" si="41">ROUND(E1719*F1719,2)</f>
        <v>96.94</v>
      </c>
    </row>
    <row r="1720" spans="2:7" hidden="1" outlineLevel="2">
      <c r="B1720" s="330" t="s">
        <v>2295</v>
      </c>
      <c r="C1720" s="121" t="s">
        <v>1817</v>
      </c>
      <c r="D1720" s="332" t="s">
        <v>43</v>
      </c>
      <c r="E1720" s="332">
        <v>1</v>
      </c>
      <c r="F1720" s="325">
        <v>65.42</v>
      </c>
      <c r="G1720" s="436">
        <f t="shared" si="41"/>
        <v>65.42</v>
      </c>
    </row>
    <row r="1721" spans="2:7" hidden="1" outlineLevel="2">
      <c r="B1721" s="330" t="s">
        <v>2296</v>
      </c>
      <c r="C1721" s="121" t="s">
        <v>1819</v>
      </c>
      <c r="D1721" s="332" t="s">
        <v>43</v>
      </c>
      <c r="E1721" s="332">
        <v>2</v>
      </c>
      <c r="F1721" s="325">
        <v>54.61</v>
      </c>
      <c r="G1721" s="436">
        <f t="shared" si="41"/>
        <v>109.22</v>
      </c>
    </row>
    <row r="1722" spans="2:7" hidden="1" outlineLevel="2">
      <c r="B1722" s="330" t="s">
        <v>2297</v>
      </c>
      <c r="C1722" s="121" t="s">
        <v>2298</v>
      </c>
      <c r="D1722" s="332" t="s">
        <v>43</v>
      </c>
      <c r="E1722" s="332">
        <v>13</v>
      </c>
      <c r="F1722" s="325">
        <v>141.08000000000001</v>
      </c>
      <c r="G1722" s="436">
        <f t="shared" si="41"/>
        <v>1834.04</v>
      </c>
    </row>
    <row r="1723" spans="2:7" hidden="1" outlineLevel="2">
      <c r="B1723" s="330" t="s">
        <v>2299</v>
      </c>
      <c r="C1723" s="121" t="s">
        <v>1823</v>
      </c>
      <c r="D1723" s="332" t="s">
        <v>43</v>
      </c>
      <c r="E1723" s="332">
        <v>10</v>
      </c>
      <c r="F1723" s="325">
        <v>51.01</v>
      </c>
      <c r="G1723" s="436">
        <f t="shared" si="41"/>
        <v>510.1</v>
      </c>
    </row>
    <row r="1724" spans="2:7" hidden="1" outlineLevel="2">
      <c r="B1724" s="330" t="s">
        <v>2300</v>
      </c>
      <c r="C1724" s="121" t="s">
        <v>1825</v>
      </c>
      <c r="D1724" s="332" t="s">
        <v>43</v>
      </c>
      <c r="E1724" s="332">
        <v>2</v>
      </c>
      <c r="F1724" s="325">
        <v>118.56</v>
      </c>
      <c r="G1724" s="436">
        <f t="shared" si="41"/>
        <v>237.12</v>
      </c>
    </row>
    <row r="1725" spans="2:7" hidden="1" outlineLevel="2">
      <c r="B1725" s="330" t="s">
        <v>2301</v>
      </c>
      <c r="C1725" s="121" t="s">
        <v>2302</v>
      </c>
      <c r="D1725" s="332" t="s">
        <v>43</v>
      </c>
      <c r="E1725" s="332">
        <v>1</v>
      </c>
      <c r="F1725" s="325">
        <v>152.79</v>
      </c>
      <c r="G1725" s="436">
        <f t="shared" si="41"/>
        <v>152.79</v>
      </c>
    </row>
    <row r="1726" spans="2:7" hidden="1" outlineLevel="2">
      <c r="B1726" s="330" t="s">
        <v>2303</v>
      </c>
      <c r="C1726" s="121" t="s">
        <v>2304</v>
      </c>
      <c r="D1726" s="332" t="s">
        <v>43</v>
      </c>
      <c r="E1726" s="332">
        <v>1</v>
      </c>
      <c r="F1726" s="325">
        <v>53.71</v>
      </c>
      <c r="G1726" s="436">
        <f t="shared" si="41"/>
        <v>53.71</v>
      </c>
    </row>
    <row r="1727" spans="2:7" hidden="1" outlineLevel="2">
      <c r="B1727" s="330" t="s">
        <v>2305</v>
      </c>
      <c r="C1727" s="121" t="s">
        <v>1827</v>
      </c>
      <c r="D1727" s="332" t="s">
        <v>43</v>
      </c>
      <c r="E1727" s="332">
        <v>1</v>
      </c>
      <c r="F1727" s="325">
        <v>5213.93</v>
      </c>
      <c r="G1727" s="436">
        <f t="shared" si="41"/>
        <v>5213.93</v>
      </c>
    </row>
    <row r="1728" spans="2:7" hidden="1" outlineLevel="2">
      <c r="B1728" s="331" t="s">
        <v>2306</v>
      </c>
      <c r="C1728" s="324" t="s">
        <v>1829</v>
      </c>
      <c r="D1728" s="332"/>
      <c r="E1728" s="332"/>
      <c r="F1728" s="325"/>
      <c r="G1728" s="435">
        <f>+SUBTOTAL(9,G1729:G1734)</f>
        <v>13665.939999999999</v>
      </c>
    </row>
    <row r="1729" spans="2:7" hidden="1" outlineLevel="2">
      <c r="B1729" s="330" t="s">
        <v>2307</v>
      </c>
      <c r="C1729" s="121" t="s">
        <v>1831</v>
      </c>
      <c r="D1729" s="332" t="s">
        <v>43</v>
      </c>
      <c r="E1729" s="332">
        <v>36</v>
      </c>
      <c r="F1729" s="325">
        <v>95.49</v>
      </c>
      <c r="G1729" s="436">
        <f t="shared" ref="G1729:G1734" si="42">ROUND(E1729*F1729,2)</f>
        <v>3437.64</v>
      </c>
    </row>
    <row r="1730" spans="2:7" hidden="1" outlineLevel="2">
      <c r="B1730" s="330" t="s">
        <v>2308</v>
      </c>
      <c r="C1730" s="121" t="s">
        <v>1833</v>
      </c>
      <c r="D1730" s="332" t="s">
        <v>43</v>
      </c>
      <c r="E1730" s="332">
        <v>1</v>
      </c>
      <c r="F1730" s="325">
        <v>91.89</v>
      </c>
      <c r="G1730" s="436">
        <f t="shared" si="42"/>
        <v>91.89</v>
      </c>
    </row>
    <row r="1731" spans="2:7" hidden="1" outlineLevel="2">
      <c r="B1731" s="330" t="s">
        <v>2309</v>
      </c>
      <c r="C1731" s="121" t="s">
        <v>1835</v>
      </c>
      <c r="D1731" s="332" t="s">
        <v>43</v>
      </c>
      <c r="E1731" s="332">
        <v>1</v>
      </c>
      <c r="F1731" s="325">
        <v>95.49</v>
      </c>
      <c r="G1731" s="436">
        <f t="shared" si="42"/>
        <v>95.49</v>
      </c>
    </row>
    <row r="1732" spans="2:7" hidden="1" outlineLevel="2">
      <c r="B1732" s="330" t="s">
        <v>2310</v>
      </c>
      <c r="C1732" s="121" t="s">
        <v>1831</v>
      </c>
      <c r="D1732" s="332" t="s">
        <v>43</v>
      </c>
      <c r="E1732" s="332">
        <v>4</v>
      </c>
      <c r="F1732" s="325">
        <v>95.49</v>
      </c>
      <c r="G1732" s="436">
        <f t="shared" si="42"/>
        <v>381.96</v>
      </c>
    </row>
    <row r="1733" spans="2:7" hidden="1" outlineLevel="2">
      <c r="B1733" s="330" t="s">
        <v>2311</v>
      </c>
      <c r="C1733" s="121" t="s">
        <v>1838</v>
      </c>
      <c r="D1733" s="332" t="s">
        <v>43</v>
      </c>
      <c r="E1733" s="332">
        <v>9</v>
      </c>
      <c r="F1733" s="325">
        <v>158.44</v>
      </c>
      <c r="G1733" s="436">
        <f t="shared" si="42"/>
        <v>1425.96</v>
      </c>
    </row>
    <row r="1734" spans="2:7" hidden="1" outlineLevel="2">
      <c r="B1734" s="330" t="s">
        <v>2312</v>
      </c>
      <c r="C1734" s="121" t="s">
        <v>1842</v>
      </c>
      <c r="D1734" s="332" t="s">
        <v>43</v>
      </c>
      <c r="E1734" s="332">
        <v>10</v>
      </c>
      <c r="F1734" s="325">
        <v>823.3</v>
      </c>
      <c r="G1734" s="436">
        <f t="shared" si="42"/>
        <v>8233</v>
      </c>
    </row>
    <row r="1735" spans="2:7" hidden="1" outlineLevel="2">
      <c r="B1735" s="331" t="s">
        <v>2313</v>
      </c>
      <c r="C1735" s="324" t="s">
        <v>66</v>
      </c>
      <c r="D1735" s="332"/>
      <c r="E1735" s="332"/>
      <c r="F1735" s="325"/>
      <c r="G1735" s="435">
        <f>+SUBTOTAL(9,G1736:G1739)</f>
        <v>3805.07</v>
      </c>
    </row>
    <row r="1736" spans="2:7" hidden="1" outlineLevel="2">
      <c r="B1736" s="330" t="s">
        <v>2314</v>
      </c>
      <c r="C1736" s="121" t="s">
        <v>2315</v>
      </c>
      <c r="D1736" s="332" t="s">
        <v>69</v>
      </c>
      <c r="E1736" s="332">
        <v>35.200000000000003</v>
      </c>
      <c r="F1736" s="325">
        <v>41.23</v>
      </c>
      <c r="G1736" s="436">
        <f>ROUND(E1736*F1736,2)</f>
        <v>1451.3</v>
      </c>
    </row>
    <row r="1737" spans="2:7" hidden="1" outlineLevel="2">
      <c r="B1737" s="330" t="s">
        <v>2316</v>
      </c>
      <c r="C1737" s="121" t="s">
        <v>1845</v>
      </c>
      <c r="D1737" s="332" t="s">
        <v>69</v>
      </c>
      <c r="E1737" s="332">
        <v>4.28</v>
      </c>
      <c r="F1737" s="325">
        <v>41.23</v>
      </c>
      <c r="G1737" s="436">
        <f>ROUND(E1737*F1737,2)</f>
        <v>176.46</v>
      </c>
    </row>
    <row r="1738" spans="2:7" hidden="1" outlineLevel="2">
      <c r="B1738" s="330" t="s">
        <v>2317</v>
      </c>
      <c r="C1738" s="121" t="s">
        <v>2318</v>
      </c>
      <c r="D1738" s="332" t="s">
        <v>69</v>
      </c>
      <c r="E1738" s="332">
        <v>22.3</v>
      </c>
      <c r="F1738" s="325">
        <v>65.97</v>
      </c>
      <c r="G1738" s="436">
        <f>ROUND(E1738*F1738,2)</f>
        <v>1471.13</v>
      </c>
    </row>
    <row r="1739" spans="2:7" hidden="1" outlineLevel="2">
      <c r="B1739" s="330" t="s">
        <v>2319</v>
      </c>
      <c r="C1739" s="121" t="s">
        <v>1851</v>
      </c>
      <c r="D1739" s="332" t="s">
        <v>69</v>
      </c>
      <c r="E1739" s="332">
        <v>62</v>
      </c>
      <c r="F1739" s="325">
        <v>11.39</v>
      </c>
      <c r="G1739" s="436">
        <f>ROUND(E1739*F1739,2)</f>
        <v>706.18</v>
      </c>
    </row>
    <row r="1740" spans="2:7" hidden="1" outlineLevel="2">
      <c r="B1740" s="331" t="s">
        <v>2320</v>
      </c>
      <c r="C1740" s="324" t="s">
        <v>1853</v>
      </c>
      <c r="D1740" s="332"/>
      <c r="E1740" s="332"/>
      <c r="F1740" s="325"/>
      <c r="G1740" s="435">
        <f>+SUBTOTAL(9,G1741:G1745)</f>
        <v>42265.270000000004</v>
      </c>
    </row>
    <row r="1741" spans="2:7" hidden="1" outlineLevel="2">
      <c r="B1741" s="330" t="s">
        <v>2321</v>
      </c>
      <c r="C1741" s="121" t="s">
        <v>1855</v>
      </c>
      <c r="D1741" s="332" t="s">
        <v>43</v>
      </c>
      <c r="E1741" s="332">
        <v>1</v>
      </c>
      <c r="F1741" s="325">
        <v>6766.7</v>
      </c>
      <c r="G1741" s="436">
        <f>ROUND(E1741*F1741,2)</f>
        <v>6766.7</v>
      </c>
    </row>
    <row r="1742" spans="2:7" hidden="1" outlineLevel="2">
      <c r="B1742" s="330" t="s">
        <v>2322</v>
      </c>
      <c r="C1742" s="121" t="s">
        <v>1857</v>
      </c>
      <c r="D1742" s="332" t="s">
        <v>43</v>
      </c>
      <c r="E1742" s="332">
        <v>10</v>
      </c>
      <c r="F1742" s="325">
        <v>448.37</v>
      </c>
      <c r="G1742" s="436">
        <f>ROUND(E1742*F1742,2)</f>
        <v>4483.7</v>
      </c>
    </row>
    <row r="1743" spans="2:7" hidden="1" outlineLevel="2">
      <c r="B1743" s="330" t="s">
        <v>2323</v>
      </c>
      <c r="C1743" s="121" t="s">
        <v>1859</v>
      </c>
      <c r="D1743" s="332" t="s">
        <v>43</v>
      </c>
      <c r="E1743" s="332">
        <v>11</v>
      </c>
      <c r="F1743" s="325">
        <v>437.56</v>
      </c>
      <c r="G1743" s="436">
        <f>ROUND(E1743*F1743,2)</f>
        <v>4813.16</v>
      </c>
    </row>
    <row r="1744" spans="2:7" hidden="1" outlineLevel="2">
      <c r="B1744" s="330" t="s">
        <v>2324</v>
      </c>
      <c r="C1744" s="121" t="s">
        <v>1861</v>
      </c>
      <c r="D1744" s="332" t="s">
        <v>43</v>
      </c>
      <c r="E1744" s="332">
        <v>13.5</v>
      </c>
      <c r="F1744" s="325">
        <v>432.63</v>
      </c>
      <c r="G1744" s="436">
        <f>ROUND(E1744*F1744,2)</f>
        <v>5840.51</v>
      </c>
    </row>
    <row r="1745" spans="2:7" hidden="1" outlineLevel="2">
      <c r="B1745" s="330" t="s">
        <v>2325</v>
      </c>
      <c r="C1745" s="121" t="s">
        <v>1863</v>
      </c>
      <c r="D1745" s="332" t="s">
        <v>43</v>
      </c>
      <c r="E1745" s="332">
        <v>10</v>
      </c>
      <c r="F1745" s="325">
        <v>2036.12</v>
      </c>
      <c r="G1745" s="436">
        <f>ROUND(E1745*F1745,2)</f>
        <v>20361.2</v>
      </c>
    </row>
    <row r="1746" spans="2:7" hidden="1" outlineLevel="2">
      <c r="B1746" s="331" t="s">
        <v>2326</v>
      </c>
      <c r="C1746" s="324" t="s">
        <v>1865</v>
      </c>
      <c r="D1746" s="332"/>
      <c r="E1746" s="332"/>
      <c r="F1746" s="325"/>
      <c r="G1746" s="435">
        <f>+SUBTOTAL(9,G1747)</f>
        <v>12881.6</v>
      </c>
    </row>
    <row r="1747" spans="2:7" hidden="1" outlineLevel="2">
      <c r="B1747" s="330" t="s">
        <v>2327</v>
      </c>
      <c r="C1747" s="121" t="s">
        <v>1867</v>
      </c>
      <c r="D1747" s="332" t="s">
        <v>43</v>
      </c>
      <c r="E1747" s="332">
        <v>8</v>
      </c>
      <c r="F1747" s="325">
        <v>1610.2</v>
      </c>
      <c r="G1747" s="436">
        <f>ROUND(E1747*F1747,2)</f>
        <v>12881.6</v>
      </c>
    </row>
    <row r="1748" spans="2:7" hidden="1" outlineLevel="2">
      <c r="B1748" s="331" t="s">
        <v>2328</v>
      </c>
      <c r="C1748" s="324" t="s">
        <v>1869</v>
      </c>
      <c r="D1748" s="332"/>
      <c r="E1748" s="332"/>
      <c r="F1748" s="325"/>
      <c r="G1748" s="435">
        <f>+SUBTOTAL(9,G1749)</f>
        <v>3289.52</v>
      </c>
    </row>
    <row r="1749" spans="2:7" hidden="1" outlineLevel="2">
      <c r="B1749" s="330" t="s">
        <v>2329</v>
      </c>
      <c r="C1749" s="121" t="s">
        <v>1871</v>
      </c>
      <c r="D1749" s="332" t="s">
        <v>1872</v>
      </c>
      <c r="E1749" s="332">
        <v>1</v>
      </c>
      <c r="F1749" s="325">
        <v>3289.52</v>
      </c>
      <c r="G1749" s="436">
        <f>ROUND(E1749*F1749,2)</f>
        <v>3289.52</v>
      </c>
    </row>
    <row r="1750" spans="2:7" hidden="1" outlineLevel="2">
      <c r="B1750" s="331" t="s">
        <v>2330</v>
      </c>
      <c r="C1750" s="324" t="s">
        <v>1874</v>
      </c>
      <c r="D1750" s="332"/>
      <c r="E1750" s="332"/>
      <c r="F1750" s="325"/>
      <c r="G1750" s="435">
        <f>+SUBTOTAL(9,G1751:G1859)</f>
        <v>222401.17000000013</v>
      </c>
    </row>
    <row r="1751" spans="2:7" hidden="1" outlineLevel="2">
      <c r="B1751" s="331" t="s">
        <v>2331</v>
      </c>
      <c r="C1751" s="324" t="s">
        <v>1876</v>
      </c>
      <c r="D1751" s="332"/>
      <c r="E1751" s="332"/>
      <c r="F1751" s="325"/>
      <c r="G1751" s="435">
        <f>+SUBTOTAL(9,G1753:G1785)</f>
        <v>62674.250000000022</v>
      </c>
    </row>
    <row r="1752" spans="2:7" hidden="1" outlineLevel="2">
      <c r="B1752" s="331" t="s">
        <v>2332</v>
      </c>
      <c r="C1752" s="324" t="s">
        <v>1878</v>
      </c>
      <c r="D1752" s="332"/>
      <c r="E1752" s="332"/>
      <c r="F1752" s="325"/>
      <c r="G1752" s="435">
        <f>+SUBTOTAL(9,G1753:G1755)</f>
        <v>9073.34</v>
      </c>
    </row>
    <row r="1753" spans="2:7" hidden="1" outlineLevel="2">
      <c r="B1753" s="330" t="s">
        <v>2333</v>
      </c>
      <c r="C1753" s="121" t="s">
        <v>2334</v>
      </c>
      <c r="D1753" s="332" t="s">
        <v>43</v>
      </c>
      <c r="E1753" s="332">
        <v>1</v>
      </c>
      <c r="F1753" s="325">
        <v>1339.04</v>
      </c>
      <c r="G1753" s="436">
        <f>ROUND(E1753*F1753,2)</f>
        <v>1339.04</v>
      </c>
    </row>
    <row r="1754" spans="2:7" hidden="1" outlineLevel="2">
      <c r="B1754" s="330" t="s">
        <v>2335</v>
      </c>
      <c r="C1754" s="121" t="s">
        <v>1880</v>
      </c>
      <c r="D1754" s="332" t="s">
        <v>43</v>
      </c>
      <c r="E1754" s="332">
        <v>5</v>
      </c>
      <c r="F1754" s="325">
        <v>1339.04</v>
      </c>
      <c r="G1754" s="436">
        <f>ROUND(E1754*F1754,2)</f>
        <v>6695.2</v>
      </c>
    </row>
    <row r="1755" spans="2:7" hidden="1" outlineLevel="2">
      <c r="B1755" s="330" t="s">
        <v>2336</v>
      </c>
      <c r="C1755" s="121" t="s">
        <v>2337</v>
      </c>
      <c r="D1755" s="332" t="s">
        <v>43</v>
      </c>
      <c r="E1755" s="332">
        <v>1</v>
      </c>
      <c r="F1755" s="325">
        <v>1039.0999999999999</v>
      </c>
      <c r="G1755" s="436">
        <f>ROUND(E1755*F1755,2)</f>
        <v>1039.0999999999999</v>
      </c>
    </row>
    <row r="1756" spans="2:7" hidden="1" outlineLevel="2">
      <c r="B1756" s="331" t="s">
        <v>2338</v>
      </c>
      <c r="C1756" s="324" t="s">
        <v>1882</v>
      </c>
      <c r="D1756" s="332"/>
      <c r="E1756" s="332"/>
      <c r="F1756" s="325"/>
      <c r="G1756" s="435">
        <f>+SUBTOTAL(9,G1757:G1758)</f>
        <v>6620.32</v>
      </c>
    </row>
    <row r="1757" spans="2:7" hidden="1" outlineLevel="2">
      <c r="B1757" s="330" t="s">
        <v>2339</v>
      </c>
      <c r="C1757" s="121" t="s">
        <v>2340</v>
      </c>
      <c r="D1757" s="332" t="s">
        <v>43</v>
      </c>
      <c r="E1757" s="332">
        <v>2</v>
      </c>
      <c r="F1757" s="325">
        <v>945.76</v>
      </c>
      <c r="G1757" s="436">
        <f>ROUND(E1757*F1757,2)</f>
        <v>1891.52</v>
      </c>
    </row>
    <row r="1758" spans="2:7" hidden="1" outlineLevel="2">
      <c r="B1758" s="330" t="s">
        <v>2341</v>
      </c>
      <c r="C1758" s="121" t="s">
        <v>2342</v>
      </c>
      <c r="D1758" s="332" t="s">
        <v>43</v>
      </c>
      <c r="E1758" s="332">
        <v>5</v>
      </c>
      <c r="F1758" s="325">
        <v>945.76</v>
      </c>
      <c r="G1758" s="436">
        <f>ROUND(E1758*F1758,2)</f>
        <v>4728.8</v>
      </c>
    </row>
    <row r="1759" spans="2:7" hidden="1" outlineLevel="2">
      <c r="B1759" s="331" t="s">
        <v>2343</v>
      </c>
      <c r="C1759" s="324" t="s">
        <v>1886</v>
      </c>
      <c r="D1759" s="332"/>
      <c r="E1759" s="332"/>
      <c r="F1759" s="325"/>
      <c r="G1759" s="435">
        <f>+SUBTOTAL(9,G1760:G1762)</f>
        <v>29223.399999999998</v>
      </c>
    </row>
    <row r="1760" spans="2:7" hidden="1" outlineLevel="2">
      <c r="B1760" s="330" t="s">
        <v>2344</v>
      </c>
      <c r="C1760" s="121" t="s">
        <v>2345</v>
      </c>
      <c r="D1760" s="332" t="s">
        <v>64</v>
      </c>
      <c r="E1760" s="332">
        <v>850</v>
      </c>
      <c r="F1760" s="325">
        <v>31.78</v>
      </c>
      <c r="G1760" s="436">
        <f>ROUND(E1760*F1760,2)</f>
        <v>27013</v>
      </c>
    </row>
    <row r="1761" spans="2:7" hidden="1" outlineLevel="2">
      <c r="B1761" s="330" t="s">
        <v>2346</v>
      </c>
      <c r="C1761" s="121" t="s">
        <v>2347</v>
      </c>
      <c r="D1761" s="332" t="s">
        <v>64</v>
      </c>
      <c r="E1761" s="332">
        <v>15</v>
      </c>
      <c r="F1761" s="325">
        <v>75.44</v>
      </c>
      <c r="G1761" s="436">
        <f>ROUND(E1761*F1761,2)</f>
        <v>1131.5999999999999</v>
      </c>
    </row>
    <row r="1762" spans="2:7" hidden="1" outlineLevel="2">
      <c r="B1762" s="330" t="s">
        <v>2348</v>
      </c>
      <c r="C1762" s="121" t="s">
        <v>2349</v>
      </c>
      <c r="D1762" s="332" t="s">
        <v>64</v>
      </c>
      <c r="E1762" s="332">
        <v>60</v>
      </c>
      <c r="F1762" s="325">
        <v>17.98</v>
      </c>
      <c r="G1762" s="436">
        <f>ROUND(E1762*F1762,2)</f>
        <v>1078.8</v>
      </c>
    </row>
    <row r="1763" spans="2:7" hidden="1" outlineLevel="2">
      <c r="B1763" s="331" t="s">
        <v>2350</v>
      </c>
      <c r="C1763" s="324" t="s">
        <v>2351</v>
      </c>
      <c r="D1763" s="332"/>
      <c r="E1763" s="332"/>
      <c r="F1763" s="325"/>
      <c r="G1763" s="435">
        <f>+SUBTOTAL(9,G1764:G1765)</f>
        <v>5039.53</v>
      </c>
    </row>
    <row r="1764" spans="2:7" hidden="1" outlineLevel="2">
      <c r="B1764" s="330" t="s">
        <v>2352</v>
      </c>
      <c r="C1764" s="121" t="s">
        <v>2353</v>
      </c>
      <c r="D1764" s="332" t="s">
        <v>43</v>
      </c>
      <c r="E1764" s="332">
        <v>5</v>
      </c>
      <c r="F1764" s="325">
        <v>62.15</v>
      </c>
      <c r="G1764" s="436">
        <f>ROUND(E1764*F1764,2)</f>
        <v>310.75</v>
      </c>
    </row>
    <row r="1765" spans="2:7" hidden="1" outlineLevel="2">
      <c r="B1765" s="330" t="s">
        <v>2354</v>
      </c>
      <c r="C1765" s="121" t="s">
        <v>2355</v>
      </c>
      <c r="D1765" s="332" t="s">
        <v>43</v>
      </c>
      <c r="E1765" s="332">
        <v>21</v>
      </c>
      <c r="F1765" s="325">
        <v>225.18</v>
      </c>
      <c r="G1765" s="436">
        <f>ROUND(E1765*F1765,2)</f>
        <v>4728.78</v>
      </c>
    </row>
    <row r="1766" spans="2:7" hidden="1" outlineLevel="2">
      <c r="B1766" s="331" t="s">
        <v>2356</v>
      </c>
      <c r="C1766" s="324" t="s">
        <v>1892</v>
      </c>
      <c r="D1766" s="332"/>
      <c r="E1766" s="332"/>
      <c r="F1766" s="325"/>
      <c r="G1766" s="435">
        <f>+SUBTOTAL(9,G1767:G1770)</f>
        <v>640.37</v>
      </c>
    </row>
    <row r="1767" spans="2:7" ht="30" hidden="1" outlineLevel="2">
      <c r="B1767" s="330" t="s">
        <v>2357</v>
      </c>
      <c r="C1767" s="121" t="s">
        <v>2358</v>
      </c>
      <c r="D1767" s="332" t="s">
        <v>43</v>
      </c>
      <c r="E1767" s="332">
        <v>5</v>
      </c>
      <c r="F1767" s="325">
        <v>13.51</v>
      </c>
      <c r="G1767" s="436">
        <f>ROUND(E1767*F1767,2)</f>
        <v>67.55</v>
      </c>
    </row>
    <row r="1768" spans="2:7" hidden="1" outlineLevel="2">
      <c r="B1768" s="330" t="s">
        <v>2359</v>
      </c>
      <c r="C1768" s="121" t="s">
        <v>2360</v>
      </c>
      <c r="D1768" s="332" t="s">
        <v>43</v>
      </c>
      <c r="E1768" s="332">
        <v>6</v>
      </c>
      <c r="F1768" s="325">
        <v>41.43</v>
      </c>
      <c r="G1768" s="436">
        <f>ROUND(E1768*F1768,2)</f>
        <v>248.58</v>
      </c>
    </row>
    <row r="1769" spans="2:7" hidden="1" outlineLevel="2">
      <c r="B1769" s="330" t="s">
        <v>2361</v>
      </c>
      <c r="C1769" s="121" t="s">
        <v>2362</v>
      </c>
      <c r="D1769" s="332" t="s">
        <v>43</v>
      </c>
      <c r="E1769" s="332">
        <v>6</v>
      </c>
      <c r="F1769" s="325">
        <v>27.02</v>
      </c>
      <c r="G1769" s="436">
        <f>ROUND(E1769*F1769,2)</f>
        <v>162.12</v>
      </c>
    </row>
    <row r="1770" spans="2:7" hidden="1" outlineLevel="2">
      <c r="B1770" s="330" t="s">
        <v>2363</v>
      </c>
      <c r="C1770" s="121" t="s">
        <v>2364</v>
      </c>
      <c r="D1770" s="332" t="s">
        <v>43</v>
      </c>
      <c r="E1770" s="332">
        <v>6</v>
      </c>
      <c r="F1770" s="325">
        <v>27.02</v>
      </c>
      <c r="G1770" s="436">
        <f>ROUND(E1770*F1770,2)</f>
        <v>162.12</v>
      </c>
    </row>
    <row r="1771" spans="2:7" hidden="1" outlineLevel="2">
      <c r="B1771" s="331" t="s">
        <v>2365</v>
      </c>
      <c r="C1771" s="324" t="s">
        <v>1892</v>
      </c>
      <c r="D1771" s="332"/>
      <c r="E1771" s="332"/>
      <c r="F1771" s="325"/>
      <c r="G1771" s="435">
        <f>+SUBTOTAL(9,G1772:G1776)</f>
        <v>4735.0199999999995</v>
      </c>
    </row>
    <row r="1772" spans="2:7" hidden="1" outlineLevel="2">
      <c r="B1772" s="330" t="s">
        <v>2366</v>
      </c>
      <c r="C1772" s="121" t="s">
        <v>2367</v>
      </c>
      <c r="D1772" s="332" t="s">
        <v>43</v>
      </c>
      <c r="E1772" s="332">
        <v>36</v>
      </c>
      <c r="F1772" s="325">
        <v>72.06</v>
      </c>
      <c r="G1772" s="436">
        <f>ROUND(E1772*F1772,2)</f>
        <v>2594.16</v>
      </c>
    </row>
    <row r="1773" spans="2:7" hidden="1" outlineLevel="2">
      <c r="B1773" s="330" t="s">
        <v>2368</v>
      </c>
      <c r="C1773" s="121" t="s">
        <v>1898</v>
      </c>
      <c r="D1773" s="332" t="s">
        <v>43</v>
      </c>
      <c r="E1773" s="332">
        <v>21</v>
      </c>
      <c r="F1773" s="325">
        <v>22.66</v>
      </c>
      <c r="G1773" s="436">
        <f>ROUND(E1773*F1773,2)</f>
        <v>475.86</v>
      </c>
    </row>
    <row r="1774" spans="2:7" hidden="1" outlineLevel="2">
      <c r="B1774" s="330" t="s">
        <v>2369</v>
      </c>
      <c r="C1774" s="121" t="s">
        <v>1900</v>
      </c>
      <c r="D1774" s="332" t="s">
        <v>43</v>
      </c>
      <c r="E1774" s="332">
        <v>36</v>
      </c>
      <c r="F1774" s="325">
        <v>22.66</v>
      </c>
      <c r="G1774" s="436">
        <f>ROUND(E1774*F1774,2)</f>
        <v>815.76</v>
      </c>
    </row>
    <row r="1775" spans="2:7" hidden="1" outlineLevel="2">
      <c r="B1775" s="330" t="s">
        <v>2370</v>
      </c>
      <c r="C1775" s="121" t="s">
        <v>2371</v>
      </c>
      <c r="D1775" s="332" t="s">
        <v>64</v>
      </c>
      <c r="E1775" s="332">
        <v>36</v>
      </c>
      <c r="F1775" s="325">
        <v>0.93</v>
      </c>
      <c r="G1775" s="436">
        <f>ROUND(E1775*F1775,2)</f>
        <v>33.479999999999997</v>
      </c>
    </row>
    <row r="1776" spans="2:7" ht="30" hidden="1" outlineLevel="2">
      <c r="B1776" s="330" t="s">
        <v>2372</v>
      </c>
      <c r="C1776" s="121" t="s">
        <v>2373</v>
      </c>
      <c r="D1776" s="332" t="s">
        <v>43</v>
      </c>
      <c r="E1776" s="332">
        <v>36</v>
      </c>
      <c r="F1776" s="325">
        <v>22.66</v>
      </c>
      <c r="G1776" s="436">
        <f>ROUND(E1776*F1776,2)</f>
        <v>815.76</v>
      </c>
    </row>
    <row r="1777" spans="2:7" hidden="1" outlineLevel="2">
      <c r="B1777" s="331" t="s">
        <v>2374</v>
      </c>
      <c r="C1777" s="324" t="s">
        <v>2375</v>
      </c>
      <c r="D1777" s="332"/>
      <c r="E1777" s="332"/>
      <c r="F1777" s="325"/>
      <c r="G1777" s="435">
        <f>+SUBTOTAL(9,G1778)</f>
        <v>90.64</v>
      </c>
    </row>
    <row r="1778" spans="2:7" hidden="1" outlineLevel="2">
      <c r="B1778" s="330" t="s">
        <v>2376</v>
      </c>
      <c r="C1778" s="121" t="s">
        <v>2377</v>
      </c>
      <c r="D1778" s="332" t="s">
        <v>43</v>
      </c>
      <c r="E1778" s="332">
        <v>4</v>
      </c>
      <c r="F1778" s="325">
        <v>22.66</v>
      </c>
      <c r="G1778" s="436">
        <f>ROUND(E1778*F1778,2)</f>
        <v>90.64</v>
      </c>
    </row>
    <row r="1779" spans="2:7" hidden="1" outlineLevel="2">
      <c r="B1779" s="331" t="s">
        <v>2378</v>
      </c>
      <c r="C1779" s="324" t="s">
        <v>1865</v>
      </c>
      <c r="D1779" s="332"/>
      <c r="E1779" s="332"/>
      <c r="F1779" s="325"/>
      <c r="G1779" s="435">
        <f>+SUBTOTAL(9,G1780)</f>
        <v>3233.01</v>
      </c>
    </row>
    <row r="1780" spans="2:7" hidden="1" outlineLevel="2">
      <c r="B1780" s="330" t="s">
        <v>2379</v>
      </c>
      <c r="C1780" s="121" t="s">
        <v>1903</v>
      </c>
      <c r="D1780" s="332" t="s">
        <v>43</v>
      </c>
      <c r="E1780" s="332">
        <v>3</v>
      </c>
      <c r="F1780" s="325">
        <v>1077.67</v>
      </c>
      <c r="G1780" s="436">
        <f>ROUND(E1780*F1780,2)</f>
        <v>3233.01</v>
      </c>
    </row>
    <row r="1781" spans="2:7" hidden="1" outlineLevel="2">
      <c r="B1781" s="331" t="s">
        <v>2380</v>
      </c>
      <c r="C1781" s="324" t="s">
        <v>1905</v>
      </c>
      <c r="D1781" s="332"/>
      <c r="E1781" s="332"/>
      <c r="F1781" s="325"/>
      <c r="G1781" s="435">
        <f>+SUBTOTAL(9,G1782:G1784)</f>
        <v>4018.62</v>
      </c>
    </row>
    <row r="1782" spans="2:7" ht="30" hidden="1" outlineLevel="2">
      <c r="B1782" s="330" t="s">
        <v>2381</v>
      </c>
      <c r="C1782" s="121" t="s">
        <v>1907</v>
      </c>
      <c r="D1782" s="332" t="s">
        <v>43</v>
      </c>
      <c r="E1782" s="332">
        <v>6</v>
      </c>
      <c r="F1782" s="325">
        <v>333.27</v>
      </c>
      <c r="G1782" s="436">
        <f>ROUND(E1782*F1782,2)</f>
        <v>1999.62</v>
      </c>
    </row>
    <row r="1783" spans="2:7" ht="30" hidden="1" outlineLevel="2">
      <c r="B1783" s="330" t="s">
        <v>2382</v>
      </c>
      <c r="C1783" s="121" t="s">
        <v>1909</v>
      </c>
      <c r="D1783" s="332" t="s">
        <v>43</v>
      </c>
      <c r="E1783" s="332">
        <v>6</v>
      </c>
      <c r="F1783" s="325">
        <v>315.25</v>
      </c>
      <c r="G1783" s="436">
        <f>ROUND(E1783*F1783,2)</f>
        <v>1891.5</v>
      </c>
    </row>
    <row r="1784" spans="2:7" hidden="1" outlineLevel="2">
      <c r="B1784" s="330" t="s">
        <v>2383</v>
      </c>
      <c r="C1784" s="121" t="s">
        <v>1911</v>
      </c>
      <c r="D1784" s="332" t="s">
        <v>43</v>
      </c>
      <c r="E1784" s="332">
        <v>6</v>
      </c>
      <c r="F1784" s="325">
        <v>21.25</v>
      </c>
      <c r="G1784" s="436">
        <f>ROUND(E1784*F1784,2)</f>
        <v>127.5</v>
      </c>
    </row>
    <row r="1785" spans="2:7" hidden="1" outlineLevel="2">
      <c r="B1785" s="331" t="s">
        <v>2384</v>
      </c>
      <c r="C1785" s="324" t="s">
        <v>1915</v>
      </c>
      <c r="D1785" s="332"/>
      <c r="E1785" s="332"/>
      <c r="F1785" s="325"/>
      <c r="G1785" s="435">
        <f>+SUBTOTAL(9,G1786:G1819)</f>
        <v>71712.030000000013</v>
      </c>
    </row>
    <row r="1786" spans="2:7" hidden="1" outlineLevel="2">
      <c r="B1786" s="331" t="s">
        <v>2385</v>
      </c>
      <c r="C1786" s="324" t="s">
        <v>1917</v>
      </c>
      <c r="D1786" s="332"/>
      <c r="E1786" s="332"/>
      <c r="F1786" s="325"/>
      <c r="G1786" s="435">
        <f>+SUBTOTAL(9,G1787)</f>
        <v>3377.7</v>
      </c>
    </row>
    <row r="1787" spans="2:7" ht="30" hidden="1" outlineLevel="2">
      <c r="B1787" s="330" t="s">
        <v>2386</v>
      </c>
      <c r="C1787" s="121" t="s">
        <v>2387</v>
      </c>
      <c r="D1787" s="332" t="s">
        <v>43</v>
      </c>
      <c r="E1787" s="332">
        <v>1</v>
      </c>
      <c r="F1787" s="325">
        <v>3377.7</v>
      </c>
      <c r="G1787" s="436">
        <f>ROUND(E1787*F1787,2)</f>
        <v>3377.7</v>
      </c>
    </row>
    <row r="1788" spans="2:7" hidden="1" outlineLevel="2">
      <c r="B1788" s="331" t="s">
        <v>2388</v>
      </c>
      <c r="C1788" s="324" t="s">
        <v>1925</v>
      </c>
      <c r="D1788" s="332"/>
      <c r="E1788" s="332"/>
      <c r="F1788" s="325"/>
      <c r="G1788" s="435">
        <f>+SUBTOTAL(9,G1789:G1793)</f>
        <v>32587.83</v>
      </c>
    </row>
    <row r="1789" spans="2:7" ht="30" hidden="1" outlineLevel="2">
      <c r="B1789" s="330" t="s">
        <v>2389</v>
      </c>
      <c r="C1789" s="121" t="s">
        <v>2390</v>
      </c>
      <c r="D1789" s="332" t="s">
        <v>1920</v>
      </c>
      <c r="E1789" s="332">
        <v>1</v>
      </c>
      <c r="F1789" s="325">
        <v>21057.93</v>
      </c>
      <c r="G1789" s="436">
        <f>ROUND(E1789*F1789,2)</f>
        <v>21057.93</v>
      </c>
    </row>
    <row r="1790" spans="2:7" hidden="1" outlineLevel="2">
      <c r="B1790" s="330" t="s">
        <v>2391</v>
      </c>
      <c r="C1790" s="121" t="s">
        <v>2392</v>
      </c>
      <c r="D1790" s="332" t="s">
        <v>43</v>
      </c>
      <c r="E1790" s="332">
        <v>7</v>
      </c>
      <c r="F1790" s="325">
        <v>428.32</v>
      </c>
      <c r="G1790" s="436">
        <f>ROUND(E1790*F1790,2)</f>
        <v>2998.24</v>
      </c>
    </row>
    <row r="1791" spans="2:7" hidden="1" outlineLevel="2">
      <c r="B1791" s="330" t="s">
        <v>2393</v>
      </c>
      <c r="C1791" s="121" t="s">
        <v>2394</v>
      </c>
      <c r="D1791" s="332" t="s">
        <v>69</v>
      </c>
      <c r="E1791" s="332">
        <v>9</v>
      </c>
      <c r="F1791" s="325">
        <v>32.86</v>
      </c>
      <c r="G1791" s="436">
        <f>ROUND(E1791*F1791,2)</f>
        <v>295.74</v>
      </c>
    </row>
    <row r="1792" spans="2:7" hidden="1" outlineLevel="2">
      <c r="B1792" s="330" t="s">
        <v>2395</v>
      </c>
      <c r="C1792" s="121" t="s">
        <v>1931</v>
      </c>
      <c r="D1792" s="332" t="s">
        <v>43</v>
      </c>
      <c r="E1792" s="332">
        <v>7</v>
      </c>
      <c r="F1792" s="325">
        <v>815.6</v>
      </c>
      <c r="G1792" s="436">
        <f>ROUND(E1792*F1792,2)</f>
        <v>5709.2</v>
      </c>
    </row>
    <row r="1793" spans="2:7" ht="30" hidden="1" outlineLevel="2">
      <c r="B1793" s="330" t="s">
        <v>2396</v>
      </c>
      <c r="C1793" s="121" t="s">
        <v>2397</v>
      </c>
      <c r="D1793" s="332" t="s">
        <v>43</v>
      </c>
      <c r="E1793" s="332">
        <v>7</v>
      </c>
      <c r="F1793" s="325">
        <v>360.96</v>
      </c>
      <c r="G1793" s="436">
        <f>ROUND(E1793*F1793,2)</f>
        <v>2526.7199999999998</v>
      </c>
    </row>
    <row r="1794" spans="2:7" hidden="1" outlineLevel="2">
      <c r="B1794" s="331" t="s">
        <v>2398</v>
      </c>
      <c r="C1794" s="324" t="s">
        <v>1935</v>
      </c>
      <c r="D1794" s="332"/>
      <c r="E1794" s="332"/>
      <c r="F1794" s="325"/>
      <c r="G1794" s="435">
        <f>+SUBTOTAL(9,G1795:G1797)</f>
        <v>6612.61</v>
      </c>
    </row>
    <row r="1795" spans="2:7" hidden="1" outlineLevel="2">
      <c r="B1795" s="330" t="s">
        <v>2399</v>
      </c>
      <c r="C1795" s="121" t="s">
        <v>1937</v>
      </c>
      <c r="D1795" s="332" t="s">
        <v>69</v>
      </c>
      <c r="E1795" s="332">
        <v>12</v>
      </c>
      <c r="F1795" s="325">
        <v>85.59</v>
      </c>
      <c r="G1795" s="436">
        <f>ROUND(E1795*F1795,2)</f>
        <v>1027.08</v>
      </c>
    </row>
    <row r="1796" spans="2:7" hidden="1" outlineLevel="2">
      <c r="B1796" s="330" t="s">
        <v>2400</v>
      </c>
      <c r="C1796" s="121" t="s">
        <v>1939</v>
      </c>
      <c r="D1796" s="332" t="s">
        <v>43</v>
      </c>
      <c r="E1796" s="332">
        <v>5</v>
      </c>
      <c r="F1796" s="325">
        <v>940.49</v>
      </c>
      <c r="G1796" s="436">
        <f>ROUND(E1796*F1796,2)</f>
        <v>4702.45</v>
      </c>
    </row>
    <row r="1797" spans="2:7" hidden="1" outlineLevel="2">
      <c r="B1797" s="330" t="s">
        <v>2401</v>
      </c>
      <c r="C1797" s="121" t="s">
        <v>2402</v>
      </c>
      <c r="D1797" s="332" t="s">
        <v>69</v>
      </c>
      <c r="E1797" s="332">
        <v>12</v>
      </c>
      <c r="F1797" s="325">
        <v>73.59</v>
      </c>
      <c r="G1797" s="436">
        <f>ROUND(E1797*F1797,2)</f>
        <v>883.08</v>
      </c>
    </row>
    <row r="1798" spans="2:7" hidden="1" outlineLevel="2">
      <c r="B1798" s="331" t="s">
        <v>2403</v>
      </c>
      <c r="C1798" s="324" t="s">
        <v>1943</v>
      </c>
      <c r="D1798" s="332"/>
      <c r="E1798" s="332"/>
      <c r="F1798" s="325"/>
      <c r="G1798" s="435">
        <f>+SUBTOTAL(9,G1799:G1801)</f>
        <v>5764.88</v>
      </c>
    </row>
    <row r="1799" spans="2:7" hidden="1" outlineLevel="2">
      <c r="B1799" s="330" t="s">
        <v>2404</v>
      </c>
      <c r="C1799" s="121" t="s">
        <v>2043</v>
      </c>
      <c r="D1799" s="332" t="s">
        <v>69</v>
      </c>
      <c r="E1799" s="332">
        <v>8</v>
      </c>
      <c r="F1799" s="325">
        <v>193.81</v>
      </c>
      <c r="G1799" s="436">
        <f>ROUND(E1799*F1799,2)</f>
        <v>1550.48</v>
      </c>
    </row>
    <row r="1800" spans="2:7" hidden="1" outlineLevel="2">
      <c r="B1800" s="330" t="s">
        <v>2405</v>
      </c>
      <c r="C1800" s="121" t="s">
        <v>1946</v>
      </c>
      <c r="D1800" s="332" t="s">
        <v>43</v>
      </c>
      <c r="E1800" s="332">
        <v>4</v>
      </c>
      <c r="F1800" s="325">
        <v>503.52</v>
      </c>
      <c r="G1800" s="436">
        <f>ROUND(E1800*F1800,2)</f>
        <v>2014.08</v>
      </c>
    </row>
    <row r="1801" spans="2:7" hidden="1" outlineLevel="2">
      <c r="B1801" s="330" t="s">
        <v>2406</v>
      </c>
      <c r="C1801" s="121" t="s">
        <v>2046</v>
      </c>
      <c r="D1801" s="332" t="s">
        <v>69</v>
      </c>
      <c r="E1801" s="332">
        <v>8</v>
      </c>
      <c r="F1801" s="325">
        <v>275.04000000000002</v>
      </c>
      <c r="G1801" s="436">
        <f>ROUND(E1801*F1801,2)</f>
        <v>2200.3200000000002</v>
      </c>
    </row>
    <row r="1802" spans="2:7" hidden="1" outlineLevel="2">
      <c r="B1802" s="331" t="s">
        <v>2407</v>
      </c>
      <c r="C1802" s="324" t="s">
        <v>1950</v>
      </c>
      <c r="D1802" s="332"/>
      <c r="E1802" s="332"/>
      <c r="F1802" s="325"/>
      <c r="G1802" s="435">
        <f>+SUBTOTAL(9,G1803:G1806)</f>
        <v>2222.34</v>
      </c>
    </row>
    <row r="1803" spans="2:7" hidden="1" outlineLevel="2">
      <c r="B1803" s="330" t="s">
        <v>2408</v>
      </c>
      <c r="C1803" s="121" t="s">
        <v>1972</v>
      </c>
      <c r="D1803" s="332" t="s">
        <v>43</v>
      </c>
      <c r="E1803" s="332">
        <v>1</v>
      </c>
      <c r="F1803" s="325">
        <v>727.78</v>
      </c>
      <c r="G1803" s="436">
        <f>ROUND(E1803*F1803,2)</f>
        <v>727.78</v>
      </c>
    </row>
    <row r="1804" spans="2:7" hidden="1" outlineLevel="2">
      <c r="B1804" s="330" t="s">
        <v>2409</v>
      </c>
      <c r="C1804" s="121" t="s">
        <v>2410</v>
      </c>
      <c r="D1804" s="332" t="s">
        <v>43</v>
      </c>
      <c r="E1804" s="332">
        <v>5</v>
      </c>
      <c r="F1804" s="325">
        <v>186.82</v>
      </c>
      <c r="G1804" s="436">
        <f>ROUND(E1804*F1804,2)</f>
        <v>934.1</v>
      </c>
    </row>
    <row r="1805" spans="2:7" hidden="1" outlineLevel="2">
      <c r="B1805" s="330" t="s">
        <v>2411</v>
      </c>
      <c r="C1805" s="121" t="s">
        <v>2412</v>
      </c>
      <c r="D1805" s="332" t="s">
        <v>43</v>
      </c>
      <c r="E1805" s="332">
        <v>2</v>
      </c>
      <c r="F1805" s="325">
        <v>186.82</v>
      </c>
      <c r="G1805" s="436">
        <f>ROUND(E1805*F1805,2)</f>
        <v>373.64</v>
      </c>
    </row>
    <row r="1806" spans="2:7" hidden="1" outlineLevel="2">
      <c r="B1806" s="330" t="s">
        <v>2413</v>
      </c>
      <c r="C1806" s="121" t="s">
        <v>2414</v>
      </c>
      <c r="D1806" s="332" t="s">
        <v>43</v>
      </c>
      <c r="E1806" s="332">
        <v>1</v>
      </c>
      <c r="F1806" s="325">
        <v>186.82</v>
      </c>
      <c r="G1806" s="436">
        <f>ROUND(E1806*F1806,2)</f>
        <v>186.82</v>
      </c>
    </row>
    <row r="1807" spans="2:7" hidden="1" outlineLevel="2">
      <c r="B1807" s="331" t="s">
        <v>2415</v>
      </c>
      <c r="C1807" s="324" t="s">
        <v>1956</v>
      </c>
      <c r="D1807" s="332"/>
      <c r="E1807" s="332"/>
      <c r="F1807" s="325"/>
      <c r="G1807" s="435">
        <f>+SUBTOTAL(9,G1808:G1809)</f>
        <v>4897.5</v>
      </c>
    </row>
    <row r="1808" spans="2:7" ht="30" hidden="1" outlineLevel="2">
      <c r="B1808" s="330" t="s">
        <v>2416</v>
      </c>
      <c r="C1808" s="121" t="s">
        <v>2417</v>
      </c>
      <c r="D1808" s="332" t="s">
        <v>43</v>
      </c>
      <c r="E1808" s="332">
        <v>6</v>
      </c>
      <c r="F1808" s="325">
        <v>610.13</v>
      </c>
      <c r="G1808" s="436">
        <f>ROUND(E1808*F1808,2)</f>
        <v>3660.78</v>
      </c>
    </row>
    <row r="1809" spans="2:7" ht="30" hidden="1" outlineLevel="2">
      <c r="B1809" s="330" t="s">
        <v>2418</v>
      </c>
      <c r="C1809" s="121" t="s">
        <v>1952</v>
      </c>
      <c r="D1809" s="332" t="s">
        <v>43</v>
      </c>
      <c r="E1809" s="332">
        <v>6</v>
      </c>
      <c r="F1809" s="325">
        <v>206.12</v>
      </c>
      <c r="G1809" s="436">
        <f>ROUND(E1809*F1809,2)</f>
        <v>1236.72</v>
      </c>
    </row>
    <row r="1810" spans="2:7" hidden="1" outlineLevel="2">
      <c r="B1810" s="331" t="s">
        <v>2419</v>
      </c>
      <c r="C1810" s="324" t="s">
        <v>1960</v>
      </c>
      <c r="D1810" s="332"/>
      <c r="E1810" s="332"/>
      <c r="F1810" s="325"/>
      <c r="G1810" s="435">
        <f>+SUBTOTAL(9,G1811)</f>
        <v>6927.91</v>
      </c>
    </row>
    <row r="1811" spans="2:7" ht="30" hidden="1" outlineLevel="2">
      <c r="B1811" s="330" t="s">
        <v>2420</v>
      </c>
      <c r="C1811" s="121" t="s">
        <v>2421</v>
      </c>
      <c r="D1811" s="332" t="s">
        <v>1920</v>
      </c>
      <c r="E1811" s="332">
        <v>0.85</v>
      </c>
      <c r="F1811" s="325">
        <v>8150.48</v>
      </c>
      <c r="G1811" s="436">
        <f>ROUND(E1811*F1811,2)</f>
        <v>6927.91</v>
      </c>
    </row>
    <row r="1812" spans="2:7" hidden="1" outlineLevel="2">
      <c r="B1812" s="331" t="s">
        <v>2422</v>
      </c>
      <c r="C1812" s="324" t="s">
        <v>1964</v>
      </c>
      <c r="D1812" s="332"/>
      <c r="E1812" s="332"/>
      <c r="F1812" s="325"/>
      <c r="G1812" s="435">
        <f>+SUBTOTAL(9,G1813:G1814)</f>
        <v>2183.1799999999998</v>
      </c>
    </row>
    <row r="1813" spans="2:7" ht="45" hidden="1" outlineLevel="2">
      <c r="B1813" s="330" t="s">
        <v>2423</v>
      </c>
      <c r="C1813" s="121" t="s">
        <v>2424</v>
      </c>
      <c r="D1813" s="332" t="s">
        <v>1920</v>
      </c>
      <c r="E1813" s="332">
        <v>1</v>
      </c>
      <c r="F1813" s="325">
        <v>1813.82</v>
      </c>
      <c r="G1813" s="436">
        <f>ROUND(E1813*F1813,2)</f>
        <v>1813.82</v>
      </c>
    </row>
    <row r="1814" spans="2:7" ht="45" hidden="1" outlineLevel="2">
      <c r="B1814" s="330" t="s">
        <v>2425</v>
      </c>
      <c r="C1814" s="121" t="s">
        <v>1968</v>
      </c>
      <c r="D1814" s="332" t="s">
        <v>43</v>
      </c>
      <c r="E1814" s="332">
        <v>6</v>
      </c>
      <c r="F1814" s="325">
        <v>61.56</v>
      </c>
      <c r="G1814" s="436">
        <f>ROUND(E1814*F1814,2)</f>
        <v>369.36</v>
      </c>
    </row>
    <row r="1815" spans="2:7" hidden="1" outlineLevel="2">
      <c r="B1815" s="331" t="s">
        <v>2426</v>
      </c>
      <c r="C1815" s="324" t="s">
        <v>1869</v>
      </c>
      <c r="D1815" s="332"/>
      <c r="E1815" s="332"/>
      <c r="F1815" s="325"/>
      <c r="G1815" s="435">
        <f>+SUBTOTAL(9,G1816:G1817)</f>
        <v>4352.1000000000004</v>
      </c>
    </row>
    <row r="1816" spans="2:7" hidden="1" outlineLevel="2">
      <c r="B1816" s="330" t="s">
        <v>2427</v>
      </c>
      <c r="C1816" s="121" t="s">
        <v>1977</v>
      </c>
      <c r="D1816" s="332" t="s">
        <v>1920</v>
      </c>
      <c r="E1816" s="332">
        <v>5</v>
      </c>
      <c r="F1816" s="325">
        <v>517.95000000000005</v>
      </c>
      <c r="G1816" s="436">
        <f>ROUND(E1816*F1816,2)</f>
        <v>2589.75</v>
      </c>
    </row>
    <row r="1817" spans="2:7" ht="30" hidden="1" outlineLevel="2">
      <c r="B1817" s="330" t="s">
        <v>2428</v>
      </c>
      <c r="C1817" s="121" t="s">
        <v>1979</v>
      </c>
      <c r="D1817" s="332" t="s">
        <v>1920</v>
      </c>
      <c r="E1817" s="332">
        <v>5</v>
      </c>
      <c r="F1817" s="325">
        <v>352.47</v>
      </c>
      <c r="G1817" s="436">
        <f>ROUND(E1817*F1817,2)</f>
        <v>1762.35</v>
      </c>
    </row>
    <row r="1818" spans="2:7" hidden="1" outlineLevel="2">
      <c r="B1818" s="331" t="s">
        <v>2429</v>
      </c>
      <c r="C1818" s="324" t="s">
        <v>1981</v>
      </c>
      <c r="D1818" s="332"/>
      <c r="E1818" s="332"/>
      <c r="F1818" s="325"/>
      <c r="G1818" s="435">
        <f>+SUBTOTAL(9,G1819)</f>
        <v>2785.98</v>
      </c>
    </row>
    <row r="1819" spans="2:7" hidden="1" outlineLevel="2">
      <c r="B1819" s="330" t="s">
        <v>2430</v>
      </c>
      <c r="C1819" s="121" t="s">
        <v>1983</v>
      </c>
      <c r="D1819" s="332" t="s">
        <v>1923</v>
      </c>
      <c r="E1819" s="332">
        <v>1</v>
      </c>
      <c r="F1819" s="325">
        <v>2785.98</v>
      </c>
      <c r="G1819" s="436">
        <f>ROUND(E1819*F1819,2)</f>
        <v>2785.98</v>
      </c>
    </row>
    <row r="1820" spans="2:7" hidden="1" outlineLevel="2">
      <c r="B1820" s="331" t="s">
        <v>2431</v>
      </c>
      <c r="C1820" s="324" t="s">
        <v>1985</v>
      </c>
      <c r="D1820" s="332"/>
      <c r="E1820" s="332"/>
      <c r="F1820" s="325"/>
      <c r="G1820" s="435">
        <f>+SUBTOTAL(9,G1821:G1858)</f>
        <v>88014.890000000014</v>
      </c>
    </row>
    <row r="1821" spans="2:7" hidden="1" outlineLevel="2">
      <c r="B1821" s="331" t="s">
        <v>2432</v>
      </c>
      <c r="C1821" s="324" t="s">
        <v>1987</v>
      </c>
      <c r="D1821" s="332"/>
      <c r="E1821" s="332"/>
      <c r="F1821" s="325"/>
      <c r="G1821" s="435">
        <f>+SUBTOTAL(9,G1822:G1842)</f>
        <v>75545.95</v>
      </c>
    </row>
    <row r="1822" spans="2:7" hidden="1" outlineLevel="2">
      <c r="B1822" s="331" t="s">
        <v>2433</v>
      </c>
      <c r="C1822" s="324" t="s">
        <v>1886</v>
      </c>
      <c r="D1822" s="332"/>
      <c r="E1822" s="332"/>
      <c r="F1822" s="325"/>
      <c r="G1822" s="435">
        <f>+SUBTOTAL(9,G1823:G1825)</f>
        <v>29171.199999999997</v>
      </c>
    </row>
    <row r="1823" spans="2:7" hidden="1" outlineLevel="2">
      <c r="B1823" s="330" t="s">
        <v>2434</v>
      </c>
      <c r="C1823" s="121" t="s">
        <v>2345</v>
      </c>
      <c r="D1823" s="332" t="s">
        <v>64</v>
      </c>
      <c r="E1823" s="332">
        <v>850</v>
      </c>
      <c r="F1823" s="325">
        <v>31.78</v>
      </c>
      <c r="G1823" s="436">
        <f>ROUND(E1823*F1823,2)</f>
        <v>27013</v>
      </c>
    </row>
    <row r="1824" spans="2:7" hidden="1" outlineLevel="2">
      <c r="B1824" s="330" t="s">
        <v>2435</v>
      </c>
      <c r="C1824" s="121" t="s">
        <v>2347</v>
      </c>
      <c r="D1824" s="332" t="s">
        <v>64</v>
      </c>
      <c r="E1824" s="332">
        <v>15</v>
      </c>
      <c r="F1824" s="325">
        <v>75.44</v>
      </c>
      <c r="G1824" s="436">
        <f>ROUND(E1824*F1824,2)</f>
        <v>1131.5999999999999</v>
      </c>
    </row>
    <row r="1825" spans="2:7" hidden="1" outlineLevel="2">
      <c r="B1825" s="330" t="s">
        <v>2436</v>
      </c>
      <c r="C1825" s="121" t="s">
        <v>1994</v>
      </c>
      <c r="D1825" s="332" t="s">
        <v>64</v>
      </c>
      <c r="E1825" s="332">
        <v>60</v>
      </c>
      <c r="F1825" s="325">
        <v>17.11</v>
      </c>
      <c r="G1825" s="436">
        <f>ROUND(E1825*F1825,2)</f>
        <v>1026.5999999999999</v>
      </c>
    </row>
    <row r="1826" spans="2:7" hidden="1" outlineLevel="2">
      <c r="B1826" s="331" t="s">
        <v>2437</v>
      </c>
      <c r="C1826" s="324" t="s">
        <v>1996</v>
      </c>
      <c r="D1826" s="332"/>
      <c r="E1826" s="332"/>
      <c r="F1826" s="325"/>
      <c r="G1826" s="435">
        <f>+SUBTOTAL(9,G1827:G1831)</f>
        <v>3338.0699999999997</v>
      </c>
    </row>
    <row r="1827" spans="2:7" hidden="1" outlineLevel="2">
      <c r="B1827" s="330" t="s">
        <v>2438</v>
      </c>
      <c r="C1827" s="121" t="s">
        <v>2439</v>
      </c>
      <c r="D1827" s="332" t="s">
        <v>43</v>
      </c>
      <c r="E1827" s="332">
        <v>1</v>
      </c>
      <c r="F1827" s="325">
        <v>365.69</v>
      </c>
      <c r="G1827" s="436">
        <f>ROUND(E1827*F1827,2)</f>
        <v>365.69</v>
      </c>
    </row>
    <row r="1828" spans="2:7" hidden="1" outlineLevel="2">
      <c r="B1828" s="330" t="s">
        <v>2440</v>
      </c>
      <c r="C1828" s="121" t="s">
        <v>2441</v>
      </c>
      <c r="D1828" s="332" t="s">
        <v>43</v>
      </c>
      <c r="E1828" s="332">
        <v>1</v>
      </c>
      <c r="F1828" s="325">
        <v>810.65</v>
      </c>
      <c r="G1828" s="436">
        <f>ROUND(E1828*F1828,2)</f>
        <v>810.65</v>
      </c>
    </row>
    <row r="1829" spans="2:7" hidden="1" outlineLevel="2">
      <c r="B1829" s="330" t="s">
        <v>2442</v>
      </c>
      <c r="C1829" s="121" t="s">
        <v>2443</v>
      </c>
      <c r="D1829" s="332" t="s">
        <v>43</v>
      </c>
      <c r="E1829" s="332">
        <v>1</v>
      </c>
      <c r="F1829" s="325">
        <v>810.65</v>
      </c>
      <c r="G1829" s="436">
        <f>ROUND(E1829*F1829,2)</f>
        <v>810.65</v>
      </c>
    </row>
    <row r="1830" spans="2:7" hidden="1" outlineLevel="2">
      <c r="B1830" s="330" t="s">
        <v>2444</v>
      </c>
      <c r="C1830" s="121" t="s">
        <v>2445</v>
      </c>
      <c r="D1830" s="332" t="s">
        <v>43</v>
      </c>
      <c r="E1830" s="332">
        <v>1</v>
      </c>
      <c r="F1830" s="325">
        <v>675.54</v>
      </c>
      <c r="G1830" s="436">
        <f>ROUND(E1830*F1830,2)</f>
        <v>675.54</v>
      </c>
    </row>
    <row r="1831" spans="2:7" hidden="1" outlineLevel="2">
      <c r="B1831" s="330" t="s">
        <v>2446</v>
      </c>
      <c r="C1831" s="121" t="s">
        <v>2002</v>
      </c>
      <c r="D1831" s="332" t="s">
        <v>43</v>
      </c>
      <c r="E1831" s="332">
        <v>1</v>
      </c>
      <c r="F1831" s="325">
        <v>675.54</v>
      </c>
      <c r="G1831" s="436">
        <f>ROUND(E1831*F1831,2)</f>
        <v>675.54</v>
      </c>
    </row>
    <row r="1832" spans="2:7" hidden="1" outlineLevel="2">
      <c r="B1832" s="331" t="s">
        <v>2447</v>
      </c>
      <c r="C1832" s="324" t="s">
        <v>1905</v>
      </c>
      <c r="D1832" s="332"/>
      <c r="E1832" s="332"/>
      <c r="F1832" s="325"/>
      <c r="G1832" s="435">
        <f>+SUBTOTAL(9,G1833:G1836)</f>
        <v>3208.83</v>
      </c>
    </row>
    <row r="1833" spans="2:7" ht="30" hidden="1" outlineLevel="2">
      <c r="B1833" s="330" t="s">
        <v>2448</v>
      </c>
      <c r="C1833" s="121" t="s">
        <v>2009</v>
      </c>
      <c r="D1833" s="332" t="s">
        <v>43</v>
      </c>
      <c r="E1833" s="332">
        <v>6</v>
      </c>
      <c r="F1833" s="325">
        <v>333.27</v>
      </c>
      <c r="G1833" s="436">
        <f>ROUND(E1833*F1833,2)</f>
        <v>1999.62</v>
      </c>
    </row>
    <row r="1834" spans="2:7" ht="30" hidden="1" outlineLevel="2">
      <c r="B1834" s="330" t="s">
        <v>2449</v>
      </c>
      <c r="C1834" s="121" t="s">
        <v>2450</v>
      </c>
      <c r="D1834" s="332" t="s">
        <v>43</v>
      </c>
      <c r="E1834" s="332">
        <v>3</v>
      </c>
      <c r="F1834" s="325">
        <v>315.25</v>
      </c>
      <c r="G1834" s="436">
        <f>ROUND(E1834*F1834,2)</f>
        <v>945.75</v>
      </c>
    </row>
    <row r="1835" spans="2:7" hidden="1" outlineLevel="2">
      <c r="B1835" s="330" t="s">
        <v>2451</v>
      </c>
      <c r="C1835" s="121" t="s">
        <v>1911</v>
      </c>
      <c r="D1835" s="332" t="s">
        <v>43</v>
      </c>
      <c r="E1835" s="332">
        <v>6</v>
      </c>
      <c r="F1835" s="325">
        <v>21.25</v>
      </c>
      <c r="G1835" s="436">
        <f>ROUND(E1835*F1835,2)</f>
        <v>127.5</v>
      </c>
    </row>
    <row r="1836" spans="2:7" hidden="1" outlineLevel="2">
      <c r="B1836" s="330" t="s">
        <v>2452</v>
      </c>
      <c r="C1836" s="121" t="s">
        <v>2015</v>
      </c>
      <c r="D1836" s="332" t="s">
        <v>43</v>
      </c>
      <c r="E1836" s="332">
        <v>6</v>
      </c>
      <c r="F1836" s="325">
        <v>22.66</v>
      </c>
      <c r="G1836" s="436">
        <f>ROUND(E1836*F1836,2)</f>
        <v>135.96</v>
      </c>
    </row>
    <row r="1837" spans="2:7" hidden="1" outlineLevel="2">
      <c r="B1837" s="331" t="s">
        <v>2453</v>
      </c>
      <c r="C1837" s="324" t="s">
        <v>2017</v>
      </c>
      <c r="D1837" s="332"/>
      <c r="E1837" s="332"/>
      <c r="F1837" s="325"/>
      <c r="G1837" s="435">
        <f>+SUBTOTAL(9,G1838)</f>
        <v>33442.32</v>
      </c>
    </row>
    <row r="1838" spans="2:7" ht="30" hidden="1" outlineLevel="2">
      <c r="B1838" s="330" t="s">
        <v>2454</v>
      </c>
      <c r="C1838" s="121" t="s">
        <v>2455</v>
      </c>
      <c r="D1838" s="332" t="s">
        <v>43</v>
      </c>
      <c r="E1838" s="332">
        <v>1</v>
      </c>
      <c r="F1838" s="325">
        <v>33442.32</v>
      </c>
      <c r="G1838" s="436">
        <f>ROUND(E1838*F1838,2)</f>
        <v>33442.32</v>
      </c>
    </row>
    <row r="1839" spans="2:7" hidden="1" outlineLevel="2">
      <c r="B1839" s="331" t="s">
        <v>2456</v>
      </c>
      <c r="C1839" s="324" t="s">
        <v>2021</v>
      </c>
      <c r="D1839" s="332"/>
      <c r="E1839" s="332"/>
      <c r="F1839" s="325"/>
      <c r="G1839" s="435">
        <f>+SUBTOTAL(9,G1840)</f>
        <v>3152.52</v>
      </c>
    </row>
    <row r="1840" spans="2:7" ht="45" hidden="1" outlineLevel="2">
      <c r="B1840" s="330" t="s">
        <v>2457</v>
      </c>
      <c r="C1840" s="121" t="s">
        <v>2023</v>
      </c>
      <c r="D1840" s="332" t="s">
        <v>43</v>
      </c>
      <c r="E1840" s="332">
        <v>1</v>
      </c>
      <c r="F1840" s="325">
        <v>3152.52</v>
      </c>
      <c r="G1840" s="436">
        <f>ROUND(E1840*F1840,2)</f>
        <v>3152.52</v>
      </c>
    </row>
    <row r="1841" spans="2:7" hidden="1" outlineLevel="2">
      <c r="B1841" s="331" t="s">
        <v>2458</v>
      </c>
      <c r="C1841" s="324" t="s">
        <v>1865</v>
      </c>
      <c r="D1841" s="332"/>
      <c r="E1841" s="332"/>
      <c r="F1841" s="325"/>
      <c r="G1841" s="435">
        <f>+SUBTOTAL(9,G1842)</f>
        <v>3233.01</v>
      </c>
    </row>
    <row r="1842" spans="2:7" hidden="1" outlineLevel="2">
      <c r="B1842" s="330" t="s">
        <v>2459</v>
      </c>
      <c r="C1842" s="121" t="s">
        <v>1903</v>
      </c>
      <c r="D1842" s="332" t="s">
        <v>43</v>
      </c>
      <c r="E1842" s="332">
        <v>3</v>
      </c>
      <c r="F1842" s="325">
        <v>1077.67</v>
      </c>
      <c r="G1842" s="436">
        <f>ROUND(E1842*F1842,2)</f>
        <v>3233.01</v>
      </c>
    </row>
    <row r="1843" spans="2:7" hidden="1" outlineLevel="2">
      <c r="B1843" s="331" t="s">
        <v>2460</v>
      </c>
      <c r="C1843" s="324" t="s">
        <v>2461</v>
      </c>
      <c r="D1843" s="332"/>
      <c r="E1843" s="332"/>
      <c r="F1843" s="325"/>
      <c r="G1843" s="435">
        <f>+SUBTOTAL(9,G1844:G1858)</f>
        <v>12468.94</v>
      </c>
    </row>
    <row r="1844" spans="2:7" hidden="1" outlineLevel="2">
      <c r="B1844" s="331" t="s">
        <v>2462</v>
      </c>
      <c r="C1844" s="324" t="s">
        <v>1950</v>
      </c>
      <c r="D1844" s="332"/>
      <c r="E1844" s="332"/>
      <c r="F1844" s="325"/>
      <c r="G1844" s="435">
        <f>+SUBTOTAL(9,G1845:G1847)</f>
        <v>560.46</v>
      </c>
    </row>
    <row r="1845" spans="2:7" hidden="1" outlineLevel="2">
      <c r="B1845" s="330" t="s">
        <v>2463</v>
      </c>
      <c r="C1845" s="121" t="s">
        <v>2464</v>
      </c>
      <c r="D1845" s="332" t="s">
        <v>43</v>
      </c>
      <c r="E1845" s="332">
        <v>1</v>
      </c>
      <c r="F1845" s="325">
        <v>186.82</v>
      </c>
      <c r="G1845" s="436">
        <f>ROUND(E1845*F1845,2)</f>
        <v>186.82</v>
      </c>
    </row>
    <row r="1846" spans="2:7" hidden="1" outlineLevel="2">
      <c r="B1846" s="330" t="s">
        <v>2465</v>
      </c>
      <c r="C1846" s="121" t="s">
        <v>2466</v>
      </c>
      <c r="D1846" s="332" t="s">
        <v>43</v>
      </c>
      <c r="E1846" s="332">
        <v>1</v>
      </c>
      <c r="F1846" s="325">
        <v>186.82</v>
      </c>
      <c r="G1846" s="436">
        <f>ROUND(E1846*F1846,2)</f>
        <v>186.82</v>
      </c>
    </row>
    <row r="1847" spans="2:7" hidden="1" outlineLevel="2">
      <c r="B1847" s="330" t="s">
        <v>2467</v>
      </c>
      <c r="C1847" s="121" t="s">
        <v>2468</v>
      </c>
      <c r="D1847" s="332" t="s">
        <v>43</v>
      </c>
      <c r="E1847" s="332">
        <v>1</v>
      </c>
      <c r="F1847" s="325">
        <v>186.82</v>
      </c>
      <c r="G1847" s="436">
        <f>ROUND(E1847*F1847,2)</f>
        <v>186.82</v>
      </c>
    </row>
    <row r="1848" spans="2:7" hidden="1" outlineLevel="2">
      <c r="B1848" s="331" t="s">
        <v>2469</v>
      </c>
      <c r="C1848" s="324" t="s">
        <v>2030</v>
      </c>
      <c r="D1848" s="332"/>
      <c r="E1848" s="332"/>
      <c r="F1848" s="325"/>
      <c r="G1848" s="435">
        <f>+SUBTOTAL(9,G1849)</f>
        <v>122.63</v>
      </c>
    </row>
    <row r="1849" spans="2:7" hidden="1" outlineLevel="2">
      <c r="B1849" s="330" t="s">
        <v>2470</v>
      </c>
      <c r="C1849" s="121" t="s">
        <v>2471</v>
      </c>
      <c r="D1849" s="332" t="s">
        <v>1923</v>
      </c>
      <c r="E1849" s="332">
        <v>1</v>
      </c>
      <c r="F1849" s="325">
        <v>122.63</v>
      </c>
      <c r="G1849" s="436">
        <f>ROUND(E1849*F1849,2)</f>
        <v>122.63</v>
      </c>
    </row>
    <row r="1850" spans="2:7" hidden="1" outlineLevel="2">
      <c r="B1850" s="331" t="s">
        <v>2472</v>
      </c>
      <c r="C1850" s="324" t="s">
        <v>2038</v>
      </c>
      <c r="D1850" s="332"/>
      <c r="E1850" s="332"/>
      <c r="F1850" s="325"/>
      <c r="G1850" s="435">
        <f>+SUBTOTAL(9,G1851:G1852)</f>
        <v>897.15000000000009</v>
      </c>
    </row>
    <row r="1851" spans="2:7" ht="30" hidden="1" outlineLevel="2">
      <c r="B1851" s="330" t="s">
        <v>2473</v>
      </c>
      <c r="C1851" s="121" t="s">
        <v>2040</v>
      </c>
      <c r="D1851" s="332" t="s">
        <v>43</v>
      </c>
      <c r="E1851" s="332">
        <v>6</v>
      </c>
      <c r="F1851" s="325">
        <v>99.95</v>
      </c>
      <c r="G1851" s="436">
        <f>ROUND(E1851*F1851,2)</f>
        <v>599.70000000000005</v>
      </c>
    </row>
    <row r="1852" spans="2:7" ht="30" hidden="1" outlineLevel="2">
      <c r="B1852" s="330" t="s">
        <v>2474</v>
      </c>
      <c r="C1852" s="121" t="s">
        <v>2040</v>
      </c>
      <c r="D1852" s="332" t="s">
        <v>43</v>
      </c>
      <c r="E1852" s="332">
        <v>3</v>
      </c>
      <c r="F1852" s="325">
        <v>99.15</v>
      </c>
      <c r="G1852" s="436">
        <f>ROUND(E1852*F1852,2)</f>
        <v>297.45</v>
      </c>
    </row>
    <row r="1853" spans="2:7" hidden="1" outlineLevel="2">
      <c r="B1853" s="331" t="s">
        <v>2475</v>
      </c>
      <c r="C1853" s="324" t="s">
        <v>1943</v>
      </c>
      <c r="D1853" s="332"/>
      <c r="E1853" s="332"/>
      <c r="F1853" s="325"/>
      <c r="G1853" s="435">
        <f>+SUBTOTAL(9,G1854:G1856)</f>
        <v>5102.82</v>
      </c>
    </row>
    <row r="1854" spans="2:7" hidden="1" outlineLevel="2">
      <c r="B1854" s="330" t="s">
        <v>2476</v>
      </c>
      <c r="C1854" s="121" t="s">
        <v>2043</v>
      </c>
      <c r="D1854" s="332" t="s">
        <v>69</v>
      </c>
      <c r="E1854" s="332">
        <v>4.4400000000000004</v>
      </c>
      <c r="F1854" s="325">
        <v>193.81</v>
      </c>
      <c r="G1854" s="436">
        <f>ROUND(E1854*F1854,2)</f>
        <v>860.52</v>
      </c>
    </row>
    <row r="1855" spans="2:7" hidden="1" outlineLevel="2">
      <c r="B1855" s="330" t="s">
        <v>2477</v>
      </c>
      <c r="C1855" s="121" t="s">
        <v>1946</v>
      </c>
      <c r="D1855" s="332" t="s">
        <v>43</v>
      </c>
      <c r="E1855" s="332">
        <v>6</v>
      </c>
      <c r="F1855" s="325">
        <v>503.52</v>
      </c>
      <c r="G1855" s="436">
        <f>ROUND(E1855*F1855,2)</f>
        <v>3021.12</v>
      </c>
    </row>
    <row r="1856" spans="2:7" hidden="1" outlineLevel="2">
      <c r="B1856" s="330" t="s">
        <v>2478</v>
      </c>
      <c r="C1856" s="121" t="s">
        <v>2046</v>
      </c>
      <c r="D1856" s="332" t="s">
        <v>69</v>
      </c>
      <c r="E1856" s="332">
        <v>4.4400000000000004</v>
      </c>
      <c r="F1856" s="325">
        <v>275.04000000000002</v>
      </c>
      <c r="G1856" s="436">
        <f>ROUND(E1856*F1856,2)</f>
        <v>1221.18</v>
      </c>
    </row>
    <row r="1857" spans="2:7" hidden="1" outlineLevel="2">
      <c r="B1857" s="331" t="s">
        <v>2479</v>
      </c>
      <c r="C1857" s="324" t="s">
        <v>1981</v>
      </c>
      <c r="D1857" s="332"/>
      <c r="E1857" s="332"/>
      <c r="F1857" s="325"/>
      <c r="G1857" s="435">
        <f>+SUBTOTAL(9,G1858)</f>
        <v>5785.88</v>
      </c>
    </row>
    <row r="1858" spans="2:7" hidden="1" outlineLevel="2">
      <c r="B1858" s="330" t="s">
        <v>2480</v>
      </c>
      <c r="C1858" s="121" t="s">
        <v>2049</v>
      </c>
      <c r="D1858" s="332" t="s">
        <v>1923</v>
      </c>
      <c r="E1858" s="332">
        <v>1</v>
      </c>
      <c r="F1858" s="325">
        <v>5785.88</v>
      </c>
      <c r="G1858" s="436">
        <f>ROUND(E1858*F1858,2)</f>
        <v>5785.88</v>
      </c>
    </row>
    <row r="1859" spans="2:7" hidden="1" outlineLevel="2">
      <c r="B1859" s="331" t="s">
        <v>2481</v>
      </c>
      <c r="C1859" s="324" t="s">
        <v>2051</v>
      </c>
      <c r="D1859" s="332"/>
      <c r="E1859" s="332"/>
      <c r="F1859" s="325"/>
      <c r="G1859" s="435">
        <f>+SUBTOTAL(9,G1860:G1945)</f>
        <v>1081657.4200000002</v>
      </c>
    </row>
    <row r="1860" spans="2:7" hidden="1" outlineLevel="2">
      <c r="B1860" s="331" t="s">
        <v>2482</v>
      </c>
      <c r="C1860" s="324" t="s">
        <v>2483</v>
      </c>
      <c r="D1860" s="332"/>
      <c r="E1860" s="332"/>
      <c r="F1860" s="325"/>
      <c r="G1860" s="435">
        <f>+SUBTOTAL(9,G1861:G1896)</f>
        <v>709567.69000000006</v>
      </c>
    </row>
    <row r="1861" spans="2:7" hidden="1" outlineLevel="2">
      <c r="B1861" s="331" t="s">
        <v>2484</v>
      </c>
      <c r="C1861" s="324" t="s">
        <v>2053</v>
      </c>
      <c r="D1861" s="332"/>
      <c r="E1861" s="332"/>
      <c r="F1861" s="325"/>
      <c r="G1861" s="435">
        <f>+SUBTOTAL(9,G1862:G1871)</f>
        <v>82069.040000000008</v>
      </c>
    </row>
    <row r="1862" spans="2:7" hidden="1" outlineLevel="2">
      <c r="B1862" s="330" t="s">
        <v>2485</v>
      </c>
      <c r="C1862" s="121" t="s">
        <v>2486</v>
      </c>
      <c r="D1862" s="332" t="s">
        <v>43</v>
      </c>
      <c r="E1862" s="332">
        <v>1</v>
      </c>
      <c r="F1862" s="325">
        <v>11206.97</v>
      </c>
      <c r="G1862" s="436">
        <f t="shared" ref="G1862:G1871" si="43">ROUND(E1862*F1862,2)</f>
        <v>11206.97</v>
      </c>
    </row>
    <row r="1863" spans="2:7" hidden="1" outlineLevel="2">
      <c r="B1863" s="330" t="s">
        <v>2487</v>
      </c>
      <c r="C1863" s="121" t="s">
        <v>2059</v>
      </c>
      <c r="D1863" s="332" t="s">
        <v>43</v>
      </c>
      <c r="E1863" s="332">
        <v>2</v>
      </c>
      <c r="F1863" s="325">
        <v>344.08</v>
      </c>
      <c r="G1863" s="436">
        <f t="shared" si="43"/>
        <v>688.16</v>
      </c>
    </row>
    <row r="1864" spans="2:7" hidden="1" outlineLevel="2">
      <c r="B1864" s="330" t="s">
        <v>2488</v>
      </c>
      <c r="C1864" s="121" t="s">
        <v>2061</v>
      </c>
      <c r="D1864" s="332" t="s">
        <v>43</v>
      </c>
      <c r="E1864" s="332">
        <v>3</v>
      </c>
      <c r="F1864" s="325">
        <v>344.08</v>
      </c>
      <c r="G1864" s="436">
        <f t="shared" si="43"/>
        <v>1032.24</v>
      </c>
    </row>
    <row r="1865" spans="2:7" hidden="1" outlineLevel="2">
      <c r="B1865" s="330" t="s">
        <v>2489</v>
      </c>
      <c r="C1865" s="121" t="s">
        <v>2063</v>
      </c>
      <c r="D1865" s="332" t="s">
        <v>43</v>
      </c>
      <c r="E1865" s="332">
        <v>4</v>
      </c>
      <c r="F1865" s="325">
        <v>9541.56</v>
      </c>
      <c r="G1865" s="436">
        <f t="shared" si="43"/>
        <v>38166.239999999998</v>
      </c>
    </row>
    <row r="1866" spans="2:7" hidden="1" outlineLevel="2">
      <c r="B1866" s="330" t="s">
        <v>2490</v>
      </c>
      <c r="C1866" s="121" t="s">
        <v>2065</v>
      </c>
      <c r="D1866" s="332" t="s">
        <v>43</v>
      </c>
      <c r="E1866" s="332">
        <v>1</v>
      </c>
      <c r="F1866" s="325">
        <v>315.25</v>
      </c>
      <c r="G1866" s="436">
        <f t="shared" si="43"/>
        <v>315.25</v>
      </c>
    </row>
    <row r="1867" spans="2:7" hidden="1" outlineLevel="2">
      <c r="B1867" s="330" t="s">
        <v>2491</v>
      </c>
      <c r="C1867" s="121" t="s">
        <v>2071</v>
      </c>
      <c r="D1867" s="332" t="s">
        <v>43</v>
      </c>
      <c r="E1867" s="332">
        <v>1</v>
      </c>
      <c r="F1867" s="325">
        <v>90.07</v>
      </c>
      <c r="G1867" s="436">
        <f t="shared" si="43"/>
        <v>90.07</v>
      </c>
    </row>
    <row r="1868" spans="2:7" hidden="1" outlineLevel="2">
      <c r="B1868" s="330" t="s">
        <v>2492</v>
      </c>
      <c r="C1868" s="121" t="s">
        <v>2067</v>
      </c>
      <c r="D1868" s="332" t="s">
        <v>43</v>
      </c>
      <c r="E1868" s="332">
        <v>1</v>
      </c>
      <c r="F1868" s="325">
        <v>807.04</v>
      </c>
      <c r="G1868" s="436">
        <f t="shared" si="43"/>
        <v>807.04</v>
      </c>
    </row>
    <row r="1869" spans="2:7" hidden="1" outlineLevel="2">
      <c r="B1869" s="330" t="s">
        <v>2493</v>
      </c>
      <c r="C1869" s="121" t="s">
        <v>2069</v>
      </c>
      <c r="D1869" s="332" t="s">
        <v>43</v>
      </c>
      <c r="E1869" s="332">
        <v>1</v>
      </c>
      <c r="F1869" s="325">
        <v>85.57</v>
      </c>
      <c r="G1869" s="436">
        <f t="shared" si="43"/>
        <v>85.57</v>
      </c>
    </row>
    <row r="1870" spans="2:7" hidden="1" outlineLevel="2">
      <c r="B1870" s="330" t="s">
        <v>2494</v>
      </c>
      <c r="C1870" s="121" t="s">
        <v>2073</v>
      </c>
      <c r="D1870" s="332" t="s">
        <v>43</v>
      </c>
      <c r="E1870" s="332">
        <v>2</v>
      </c>
      <c r="F1870" s="325">
        <v>690.57</v>
      </c>
      <c r="G1870" s="436">
        <f t="shared" si="43"/>
        <v>1381.14</v>
      </c>
    </row>
    <row r="1871" spans="2:7" hidden="1" outlineLevel="2">
      <c r="B1871" s="330" t="s">
        <v>2495</v>
      </c>
      <c r="C1871" s="121" t="s">
        <v>2496</v>
      </c>
      <c r="D1871" s="332" t="s">
        <v>1923</v>
      </c>
      <c r="E1871" s="332">
        <v>1</v>
      </c>
      <c r="F1871" s="325">
        <v>28296.36</v>
      </c>
      <c r="G1871" s="436">
        <f t="shared" si="43"/>
        <v>28296.36</v>
      </c>
    </row>
    <row r="1872" spans="2:7" hidden="1" outlineLevel="2">
      <c r="B1872" s="331" t="s">
        <v>2497</v>
      </c>
      <c r="C1872" s="324" t="s">
        <v>2498</v>
      </c>
      <c r="D1872" s="332"/>
      <c r="E1872" s="332"/>
      <c r="F1872" s="325"/>
      <c r="G1872" s="435">
        <f>+SUBTOTAL(9,G1873:G1877)</f>
        <v>483943.07</v>
      </c>
    </row>
    <row r="1873" spans="2:7" hidden="1" outlineLevel="2">
      <c r="B1873" s="330" t="s">
        <v>2499</v>
      </c>
      <c r="C1873" s="121" t="s">
        <v>2500</v>
      </c>
      <c r="D1873" s="332" t="s">
        <v>43</v>
      </c>
      <c r="E1873" s="332">
        <v>1</v>
      </c>
      <c r="F1873" s="325">
        <v>81374.11</v>
      </c>
      <c r="G1873" s="436">
        <f>ROUND(E1873*F1873,2)</f>
        <v>81374.11</v>
      </c>
    </row>
    <row r="1874" spans="2:7" hidden="1" outlineLevel="2">
      <c r="B1874" s="330" t="s">
        <v>2501</v>
      </c>
      <c r="C1874" s="121" t="s">
        <v>2502</v>
      </c>
      <c r="D1874" s="332" t="s">
        <v>43</v>
      </c>
      <c r="E1874" s="332">
        <v>1</v>
      </c>
      <c r="F1874" s="325">
        <v>85410.11</v>
      </c>
      <c r="G1874" s="436">
        <f>ROUND(E1874*F1874,2)</f>
        <v>85410.11</v>
      </c>
    </row>
    <row r="1875" spans="2:7" hidden="1" outlineLevel="2">
      <c r="B1875" s="330" t="s">
        <v>2503</v>
      </c>
      <c r="C1875" s="121" t="s">
        <v>2504</v>
      </c>
      <c r="D1875" s="332" t="s">
        <v>43</v>
      </c>
      <c r="E1875" s="332">
        <v>1</v>
      </c>
      <c r="F1875" s="325">
        <v>50709.23</v>
      </c>
      <c r="G1875" s="436">
        <f>ROUND(E1875*F1875,2)</f>
        <v>50709.23</v>
      </c>
    </row>
    <row r="1876" spans="2:7" hidden="1" outlineLevel="2">
      <c r="B1876" s="330" t="s">
        <v>2505</v>
      </c>
      <c r="C1876" s="121" t="s">
        <v>2506</v>
      </c>
      <c r="D1876" s="332" t="s">
        <v>43</v>
      </c>
      <c r="E1876" s="332">
        <v>1</v>
      </c>
      <c r="F1876" s="325">
        <v>133224.81</v>
      </c>
      <c r="G1876" s="436">
        <f>ROUND(E1876*F1876,2)</f>
        <v>133224.81</v>
      </c>
    </row>
    <row r="1877" spans="2:7" hidden="1" outlineLevel="2">
      <c r="B1877" s="330" t="s">
        <v>2507</v>
      </c>
      <c r="C1877" s="121" t="s">
        <v>2508</v>
      </c>
      <c r="D1877" s="332" t="s">
        <v>43</v>
      </c>
      <c r="E1877" s="332">
        <v>1</v>
      </c>
      <c r="F1877" s="325">
        <v>133224.81</v>
      </c>
      <c r="G1877" s="436">
        <f>ROUND(E1877*F1877,2)</f>
        <v>133224.81</v>
      </c>
    </row>
    <row r="1878" spans="2:7" hidden="1" outlineLevel="2">
      <c r="B1878" s="331" t="s">
        <v>2509</v>
      </c>
      <c r="C1878" s="324" t="s">
        <v>2097</v>
      </c>
      <c r="D1878" s="332"/>
      <c r="E1878" s="332"/>
      <c r="F1878" s="325"/>
      <c r="G1878" s="435">
        <f>+SUBTOTAL(9,G1879:G1896)</f>
        <v>143555.57999999999</v>
      </c>
    </row>
    <row r="1879" spans="2:7" hidden="1" outlineLevel="2">
      <c r="B1879" s="330" t="s">
        <v>2510</v>
      </c>
      <c r="C1879" s="121" t="s">
        <v>2099</v>
      </c>
      <c r="D1879" s="332" t="s">
        <v>64</v>
      </c>
      <c r="E1879" s="332">
        <v>25</v>
      </c>
      <c r="F1879" s="325">
        <v>253.94</v>
      </c>
      <c r="G1879" s="436">
        <f t="shared" ref="G1879:G1896" si="44">ROUND(E1879*F1879,2)</f>
        <v>6348.5</v>
      </c>
    </row>
    <row r="1880" spans="2:7" hidden="1" outlineLevel="2">
      <c r="B1880" s="330" t="s">
        <v>2511</v>
      </c>
      <c r="C1880" s="121" t="s">
        <v>2103</v>
      </c>
      <c r="D1880" s="332" t="s">
        <v>64</v>
      </c>
      <c r="E1880" s="332">
        <v>5</v>
      </c>
      <c r="F1880" s="325">
        <v>265.08999999999997</v>
      </c>
      <c r="G1880" s="436">
        <f t="shared" si="44"/>
        <v>1325.45</v>
      </c>
    </row>
    <row r="1881" spans="2:7" hidden="1" outlineLevel="2">
      <c r="B1881" s="330" t="s">
        <v>2512</v>
      </c>
      <c r="C1881" s="121" t="s">
        <v>2513</v>
      </c>
      <c r="D1881" s="332" t="s">
        <v>43</v>
      </c>
      <c r="E1881" s="332">
        <v>2</v>
      </c>
      <c r="F1881" s="325">
        <v>1612.08</v>
      </c>
      <c r="G1881" s="436">
        <f t="shared" si="44"/>
        <v>3224.16</v>
      </c>
    </row>
    <row r="1882" spans="2:7" hidden="1" outlineLevel="2">
      <c r="B1882" s="330" t="s">
        <v>2514</v>
      </c>
      <c r="C1882" s="121" t="s">
        <v>2515</v>
      </c>
      <c r="D1882" s="332" t="s">
        <v>43</v>
      </c>
      <c r="E1882" s="332">
        <v>4</v>
      </c>
      <c r="F1882" s="325">
        <v>840.34</v>
      </c>
      <c r="G1882" s="436">
        <f t="shared" si="44"/>
        <v>3361.36</v>
      </c>
    </row>
    <row r="1883" spans="2:7" hidden="1" outlineLevel="2">
      <c r="B1883" s="330" t="s">
        <v>2516</v>
      </c>
      <c r="C1883" s="121" t="s">
        <v>2517</v>
      </c>
      <c r="D1883" s="332" t="s">
        <v>43</v>
      </c>
      <c r="E1883" s="332">
        <v>2</v>
      </c>
      <c r="F1883" s="325">
        <v>1536.02</v>
      </c>
      <c r="G1883" s="436">
        <f t="shared" si="44"/>
        <v>3072.04</v>
      </c>
    </row>
    <row r="1884" spans="2:7" hidden="1" outlineLevel="2">
      <c r="B1884" s="330" t="s">
        <v>2518</v>
      </c>
      <c r="C1884" s="121" t="s">
        <v>2519</v>
      </c>
      <c r="D1884" s="332" t="s">
        <v>43</v>
      </c>
      <c r="E1884" s="332">
        <v>1</v>
      </c>
      <c r="F1884" s="325">
        <v>1143.51</v>
      </c>
      <c r="G1884" s="436">
        <f t="shared" si="44"/>
        <v>1143.51</v>
      </c>
    </row>
    <row r="1885" spans="2:7" hidden="1" outlineLevel="2">
      <c r="B1885" s="330" t="s">
        <v>2520</v>
      </c>
      <c r="C1885" s="121" t="s">
        <v>2521</v>
      </c>
      <c r="D1885" s="332" t="s">
        <v>43</v>
      </c>
      <c r="E1885" s="332">
        <v>1</v>
      </c>
      <c r="F1885" s="325">
        <v>963.18</v>
      </c>
      <c r="G1885" s="436">
        <f t="shared" si="44"/>
        <v>963.18</v>
      </c>
    </row>
    <row r="1886" spans="2:7" hidden="1" outlineLevel="2">
      <c r="B1886" s="330" t="s">
        <v>2522</v>
      </c>
      <c r="C1886" s="121" t="s">
        <v>2523</v>
      </c>
      <c r="D1886" s="332" t="s">
        <v>43</v>
      </c>
      <c r="E1886" s="332">
        <v>1</v>
      </c>
      <c r="F1886" s="325">
        <v>1605.35</v>
      </c>
      <c r="G1886" s="436">
        <f t="shared" si="44"/>
        <v>1605.35</v>
      </c>
    </row>
    <row r="1887" spans="2:7" hidden="1" outlineLevel="2">
      <c r="B1887" s="330" t="s">
        <v>2524</v>
      </c>
      <c r="C1887" s="121" t="s">
        <v>2525</v>
      </c>
      <c r="D1887" s="332" t="s">
        <v>43</v>
      </c>
      <c r="E1887" s="332">
        <v>1</v>
      </c>
      <c r="F1887" s="325">
        <v>666.03</v>
      </c>
      <c r="G1887" s="436">
        <f t="shared" si="44"/>
        <v>666.03</v>
      </c>
    </row>
    <row r="1888" spans="2:7" hidden="1" outlineLevel="2">
      <c r="B1888" s="330" t="s">
        <v>2526</v>
      </c>
      <c r="C1888" s="121" t="s">
        <v>2527</v>
      </c>
      <c r="D1888" s="332" t="s">
        <v>43</v>
      </c>
      <c r="E1888" s="332">
        <v>1</v>
      </c>
      <c r="F1888" s="325">
        <v>3094.32</v>
      </c>
      <c r="G1888" s="436">
        <f t="shared" si="44"/>
        <v>3094.32</v>
      </c>
    </row>
    <row r="1889" spans="2:7" hidden="1" outlineLevel="2">
      <c r="B1889" s="330" t="s">
        <v>2528</v>
      </c>
      <c r="C1889" s="121" t="s">
        <v>2529</v>
      </c>
      <c r="D1889" s="332" t="s">
        <v>43</v>
      </c>
      <c r="E1889" s="332">
        <v>1</v>
      </c>
      <c r="F1889" s="325">
        <v>5452.28</v>
      </c>
      <c r="G1889" s="436">
        <f t="shared" si="44"/>
        <v>5452.28</v>
      </c>
    </row>
    <row r="1890" spans="2:7" hidden="1" outlineLevel="2">
      <c r="B1890" s="330" t="s">
        <v>2530</v>
      </c>
      <c r="C1890" s="121" t="s">
        <v>2531</v>
      </c>
      <c r="D1890" s="332" t="s">
        <v>43</v>
      </c>
      <c r="E1890" s="332">
        <v>1</v>
      </c>
      <c r="F1890" s="325">
        <v>4162.3599999999997</v>
      </c>
      <c r="G1890" s="436">
        <f t="shared" si="44"/>
        <v>4162.3599999999997</v>
      </c>
    </row>
    <row r="1891" spans="2:7" hidden="1" outlineLevel="2">
      <c r="B1891" s="330" t="s">
        <v>2532</v>
      </c>
      <c r="C1891" s="121" t="s">
        <v>2533</v>
      </c>
      <c r="D1891" s="332" t="s">
        <v>43</v>
      </c>
      <c r="E1891" s="332">
        <v>1</v>
      </c>
      <c r="F1891" s="325">
        <v>3991.13</v>
      </c>
      <c r="G1891" s="436">
        <f t="shared" si="44"/>
        <v>3991.13</v>
      </c>
    </row>
    <row r="1892" spans="2:7" hidden="1" outlineLevel="2">
      <c r="B1892" s="330" t="s">
        <v>2534</v>
      </c>
      <c r="C1892" s="121" t="s">
        <v>2535</v>
      </c>
      <c r="D1892" s="332" t="s">
        <v>43</v>
      </c>
      <c r="E1892" s="332">
        <v>1</v>
      </c>
      <c r="F1892" s="325">
        <v>7278.03</v>
      </c>
      <c r="G1892" s="436">
        <f t="shared" si="44"/>
        <v>7278.03</v>
      </c>
    </row>
    <row r="1893" spans="2:7" hidden="1" outlineLevel="2">
      <c r="B1893" s="330" t="s">
        <v>2536</v>
      </c>
      <c r="C1893" s="121" t="s">
        <v>2537</v>
      </c>
      <c r="D1893" s="332" t="s">
        <v>43</v>
      </c>
      <c r="E1893" s="332">
        <v>1</v>
      </c>
      <c r="F1893" s="325">
        <v>605.16999999999996</v>
      </c>
      <c r="G1893" s="436">
        <f t="shared" si="44"/>
        <v>605.16999999999996</v>
      </c>
    </row>
    <row r="1894" spans="2:7" hidden="1" outlineLevel="2">
      <c r="B1894" s="330" t="s">
        <v>2538</v>
      </c>
      <c r="C1894" s="121" t="s">
        <v>2141</v>
      </c>
      <c r="D1894" s="332" t="s">
        <v>43</v>
      </c>
      <c r="E1894" s="332">
        <v>2</v>
      </c>
      <c r="F1894" s="325">
        <v>2750.07</v>
      </c>
      <c r="G1894" s="436">
        <f t="shared" si="44"/>
        <v>5500.14</v>
      </c>
    </row>
    <row r="1895" spans="2:7" hidden="1" outlineLevel="2">
      <c r="B1895" s="330" t="s">
        <v>2539</v>
      </c>
      <c r="C1895" s="121" t="s">
        <v>2540</v>
      </c>
      <c r="D1895" s="332" t="s">
        <v>64</v>
      </c>
      <c r="E1895" s="332">
        <v>97</v>
      </c>
      <c r="F1895" s="325">
        <v>483.76</v>
      </c>
      <c r="G1895" s="436">
        <f t="shared" si="44"/>
        <v>46924.72</v>
      </c>
    </row>
    <row r="1896" spans="2:7" hidden="1" outlineLevel="2">
      <c r="B1896" s="330" t="s">
        <v>2541</v>
      </c>
      <c r="C1896" s="121" t="s">
        <v>2542</v>
      </c>
      <c r="D1896" s="332" t="s">
        <v>43</v>
      </c>
      <c r="E1896" s="332">
        <v>1</v>
      </c>
      <c r="F1896" s="325">
        <v>44837.85</v>
      </c>
      <c r="G1896" s="436">
        <f t="shared" si="44"/>
        <v>44837.85</v>
      </c>
    </row>
    <row r="1897" spans="2:7" hidden="1" outlineLevel="2">
      <c r="B1897" s="331" t="s">
        <v>2543</v>
      </c>
      <c r="C1897" s="324" t="s">
        <v>2544</v>
      </c>
      <c r="D1897" s="332"/>
      <c r="E1897" s="332"/>
      <c r="F1897" s="325"/>
      <c r="G1897" s="435">
        <f>+SUBTOTAL(9,G1898:G1945)</f>
        <v>372089.73</v>
      </c>
    </row>
    <row r="1898" spans="2:7" hidden="1" outlineLevel="2">
      <c r="B1898" s="331" t="s">
        <v>2545</v>
      </c>
      <c r="C1898" s="324" t="s">
        <v>2053</v>
      </c>
      <c r="D1898" s="332"/>
      <c r="E1898" s="332"/>
      <c r="F1898" s="325"/>
      <c r="G1898" s="435">
        <f>+SUBTOTAL(9,G1899:G1910)</f>
        <v>79518.280000000013</v>
      </c>
    </row>
    <row r="1899" spans="2:7" hidden="1" outlineLevel="2">
      <c r="B1899" s="330" t="s">
        <v>2546</v>
      </c>
      <c r="C1899" s="121" t="s">
        <v>2055</v>
      </c>
      <c r="D1899" s="332" t="s">
        <v>43</v>
      </c>
      <c r="E1899" s="332">
        <v>1</v>
      </c>
      <c r="F1899" s="325">
        <v>18237.53</v>
      </c>
      <c r="G1899" s="436">
        <f t="shared" ref="G1899:G1910" si="45">ROUND(E1899*F1899,2)</f>
        <v>18237.53</v>
      </c>
    </row>
    <row r="1900" spans="2:7" hidden="1" outlineLevel="2">
      <c r="B1900" s="330" t="s">
        <v>2547</v>
      </c>
      <c r="C1900" s="121" t="s">
        <v>2548</v>
      </c>
      <c r="D1900" s="332" t="s">
        <v>43</v>
      </c>
      <c r="E1900" s="332">
        <v>1</v>
      </c>
      <c r="F1900" s="325">
        <v>6620.35</v>
      </c>
      <c r="G1900" s="436">
        <f t="shared" si="45"/>
        <v>6620.35</v>
      </c>
    </row>
    <row r="1901" spans="2:7" hidden="1" outlineLevel="2">
      <c r="B1901" s="330" t="s">
        <v>2549</v>
      </c>
      <c r="C1901" s="121" t="s">
        <v>2550</v>
      </c>
      <c r="D1901" s="332" t="s">
        <v>43</v>
      </c>
      <c r="E1901" s="332">
        <v>1</v>
      </c>
      <c r="F1901" s="325">
        <v>2114.7800000000002</v>
      </c>
      <c r="G1901" s="436">
        <f t="shared" si="45"/>
        <v>2114.7800000000002</v>
      </c>
    </row>
    <row r="1902" spans="2:7" hidden="1" outlineLevel="2">
      <c r="B1902" s="330" t="s">
        <v>2551</v>
      </c>
      <c r="C1902" s="121" t="s">
        <v>2552</v>
      </c>
      <c r="D1902" s="332" t="s">
        <v>43</v>
      </c>
      <c r="E1902" s="332">
        <v>1</v>
      </c>
      <c r="F1902" s="325">
        <v>29177.93</v>
      </c>
      <c r="G1902" s="436">
        <f t="shared" si="45"/>
        <v>29177.93</v>
      </c>
    </row>
    <row r="1903" spans="2:7" hidden="1" outlineLevel="2">
      <c r="B1903" s="330" t="s">
        <v>2553</v>
      </c>
      <c r="C1903" s="121" t="s">
        <v>2554</v>
      </c>
      <c r="D1903" s="332" t="s">
        <v>43</v>
      </c>
      <c r="E1903" s="332">
        <v>1</v>
      </c>
      <c r="F1903" s="325">
        <v>17675.82</v>
      </c>
      <c r="G1903" s="436">
        <f t="shared" si="45"/>
        <v>17675.82</v>
      </c>
    </row>
    <row r="1904" spans="2:7" hidden="1" outlineLevel="2">
      <c r="B1904" s="330" t="s">
        <v>2555</v>
      </c>
      <c r="C1904" s="121" t="s">
        <v>2057</v>
      </c>
      <c r="D1904" s="332" t="s">
        <v>43</v>
      </c>
      <c r="E1904" s="332">
        <v>1</v>
      </c>
      <c r="F1904" s="325">
        <v>3017.56</v>
      </c>
      <c r="G1904" s="436">
        <f t="shared" si="45"/>
        <v>3017.56</v>
      </c>
    </row>
    <row r="1905" spans="2:7" hidden="1" outlineLevel="2">
      <c r="B1905" s="330" t="s">
        <v>2556</v>
      </c>
      <c r="C1905" s="121" t="s">
        <v>2557</v>
      </c>
      <c r="D1905" s="332" t="s">
        <v>43</v>
      </c>
      <c r="E1905" s="332">
        <v>1</v>
      </c>
      <c r="F1905" s="325">
        <v>344.08</v>
      </c>
      <c r="G1905" s="436">
        <f t="shared" si="45"/>
        <v>344.08</v>
      </c>
    </row>
    <row r="1906" spans="2:7" hidden="1" outlineLevel="2">
      <c r="B1906" s="330" t="s">
        <v>2558</v>
      </c>
      <c r="C1906" s="121" t="s">
        <v>2065</v>
      </c>
      <c r="D1906" s="332" t="s">
        <v>43</v>
      </c>
      <c r="E1906" s="332">
        <v>1</v>
      </c>
      <c r="F1906" s="325">
        <v>315.25</v>
      </c>
      <c r="G1906" s="436">
        <f t="shared" si="45"/>
        <v>315.25</v>
      </c>
    </row>
    <row r="1907" spans="2:7" hidden="1" outlineLevel="2">
      <c r="B1907" s="330" t="s">
        <v>2559</v>
      </c>
      <c r="C1907" s="121" t="s">
        <v>2061</v>
      </c>
      <c r="D1907" s="332" t="s">
        <v>43</v>
      </c>
      <c r="E1907" s="332">
        <v>3</v>
      </c>
      <c r="F1907" s="325">
        <v>344.08</v>
      </c>
      <c r="G1907" s="436">
        <f t="shared" si="45"/>
        <v>1032.24</v>
      </c>
    </row>
    <row r="1908" spans="2:7" hidden="1" outlineLevel="2">
      <c r="B1908" s="330" t="s">
        <v>2560</v>
      </c>
      <c r="C1908" s="121" t="s">
        <v>2071</v>
      </c>
      <c r="D1908" s="332" t="s">
        <v>43</v>
      </c>
      <c r="E1908" s="332">
        <v>1</v>
      </c>
      <c r="F1908" s="325">
        <v>90.13</v>
      </c>
      <c r="G1908" s="436">
        <f t="shared" si="45"/>
        <v>90.13</v>
      </c>
    </row>
    <row r="1909" spans="2:7" hidden="1" outlineLevel="2">
      <c r="B1909" s="330" t="s">
        <v>2561</v>
      </c>
      <c r="C1909" s="121" t="s">
        <v>2067</v>
      </c>
      <c r="D1909" s="332" t="s">
        <v>43</v>
      </c>
      <c r="E1909" s="332">
        <v>1</v>
      </c>
      <c r="F1909" s="325">
        <v>807.04</v>
      </c>
      <c r="G1909" s="436">
        <f t="shared" si="45"/>
        <v>807.04</v>
      </c>
    </row>
    <row r="1910" spans="2:7" hidden="1" outlineLevel="2">
      <c r="B1910" s="330" t="s">
        <v>2562</v>
      </c>
      <c r="C1910" s="121" t="s">
        <v>2069</v>
      </c>
      <c r="D1910" s="332" t="s">
        <v>43</v>
      </c>
      <c r="E1910" s="332">
        <v>1</v>
      </c>
      <c r="F1910" s="325">
        <v>85.57</v>
      </c>
      <c r="G1910" s="436">
        <f t="shared" si="45"/>
        <v>85.57</v>
      </c>
    </row>
    <row r="1911" spans="2:7" hidden="1" outlineLevel="2">
      <c r="B1911" s="331" t="s">
        <v>2563</v>
      </c>
      <c r="C1911" s="324" t="s">
        <v>2077</v>
      </c>
      <c r="D1911" s="332"/>
      <c r="E1911" s="332"/>
      <c r="F1911" s="325"/>
      <c r="G1911" s="435">
        <f>+SUBTOTAL(9,G1912:G1919)</f>
        <v>109101.50999999998</v>
      </c>
    </row>
    <row r="1912" spans="2:7" hidden="1" outlineLevel="2">
      <c r="B1912" s="330" t="s">
        <v>2564</v>
      </c>
      <c r="C1912" s="121" t="s">
        <v>2079</v>
      </c>
      <c r="D1912" s="332" t="s">
        <v>43</v>
      </c>
      <c r="E1912" s="332">
        <v>1</v>
      </c>
      <c r="F1912" s="325">
        <v>19944.78</v>
      </c>
      <c r="G1912" s="436">
        <f t="shared" ref="G1912:G1919" si="46">ROUND(E1912*F1912,2)</f>
        <v>19944.78</v>
      </c>
    </row>
    <row r="1913" spans="2:7" hidden="1" outlineLevel="2">
      <c r="B1913" s="330" t="s">
        <v>2565</v>
      </c>
      <c r="C1913" s="121" t="s">
        <v>2566</v>
      </c>
      <c r="D1913" s="332" t="s">
        <v>43</v>
      </c>
      <c r="E1913" s="332">
        <v>1</v>
      </c>
      <c r="F1913" s="325">
        <v>51357.9</v>
      </c>
      <c r="G1913" s="436">
        <f t="shared" si="46"/>
        <v>51357.9</v>
      </c>
    </row>
    <row r="1914" spans="2:7" hidden="1" outlineLevel="2">
      <c r="B1914" s="330" t="s">
        <v>2567</v>
      </c>
      <c r="C1914" s="121" t="s">
        <v>2568</v>
      </c>
      <c r="D1914" s="332" t="s">
        <v>43</v>
      </c>
      <c r="E1914" s="332">
        <v>1</v>
      </c>
      <c r="F1914" s="325">
        <v>20515.11</v>
      </c>
      <c r="G1914" s="436">
        <f t="shared" si="46"/>
        <v>20515.11</v>
      </c>
    </row>
    <row r="1915" spans="2:7" hidden="1" outlineLevel="2">
      <c r="B1915" s="330" t="s">
        <v>2569</v>
      </c>
      <c r="C1915" s="121" t="s">
        <v>2570</v>
      </c>
      <c r="D1915" s="332" t="s">
        <v>43</v>
      </c>
      <c r="E1915" s="332">
        <v>2</v>
      </c>
      <c r="F1915" s="325">
        <v>354.52</v>
      </c>
      <c r="G1915" s="436">
        <f t="shared" si="46"/>
        <v>709.04</v>
      </c>
    </row>
    <row r="1916" spans="2:7" hidden="1" outlineLevel="2">
      <c r="B1916" s="330" t="s">
        <v>2571</v>
      </c>
      <c r="C1916" s="121" t="s">
        <v>2572</v>
      </c>
      <c r="D1916" s="332" t="s">
        <v>43</v>
      </c>
      <c r="E1916" s="332">
        <v>1</v>
      </c>
      <c r="F1916" s="325">
        <v>344.08</v>
      </c>
      <c r="G1916" s="436">
        <f t="shared" si="46"/>
        <v>344.08</v>
      </c>
    </row>
    <row r="1917" spans="2:7" hidden="1" outlineLevel="2">
      <c r="B1917" s="330" t="s">
        <v>2573</v>
      </c>
      <c r="C1917" s="121" t="s">
        <v>2081</v>
      </c>
      <c r="D1917" s="332" t="s">
        <v>43</v>
      </c>
      <c r="E1917" s="332">
        <v>1</v>
      </c>
      <c r="F1917" s="325">
        <v>344.08</v>
      </c>
      <c r="G1917" s="436">
        <f t="shared" si="46"/>
        <v>344.08</v>
      </c>
    </row>
    <row r="1918" spans="2:7" hidden="1" outlineLevel="2">
      <c r="B1918" s="330" t="s">
        <v>2574</v>
      </c>
      <c r="C1918" s="121" t="s">
        <v>2575</v>
      </c>
      <c r="D1918" s="332" t="s">
        <v>43</v>
      </c>
      <c r="E1918" s="332">
        <v>2</v>
      </c>
      <c r="F1918" s="325">
        <v>2286.0300000000002</v>
      </c>
      <c r="G1918" s="436">
        <f t="shared" si="46"/>
        <v>4572.0600000000004</v>
      </c>
    </row>
    <row r="1919" spans="2:7" hidden="1" outlineLevel="2">
      <c r="B1919" s="330" t="s">
        <v>2576</v>
      </c>
      <c r="C1919" s="121" t="s">
        <v>2577</v>
      </c>
      <c r="D1919" s="332" t="s">
        <v>43</v>
      </c>
      <c r="E1919" s="332">
        <v>1</v>
      </c>
      <c r="F1919" s="325">
        <v>11314.46</v>
      </c>
      <c r="G1919" s="436">
        <f t="shared" si="46"/>
        <v>11314.46</v>
      </c>
    </row>
    <row r="1920" spans="2:7" hidden="1" outlineLevel="2">
      <c r="B1920" s="331" t="s">
        <v>2578</v>
      </c>
      <c r="C1920" s="324" t="s">
        <v>2498</v>
      </c>
      <c r="D1920" s="332"/>
      <c r="E1920" s="332"/>
      <c r="F1920" s="325"/>
      <c r="G1920" s="435">
        <f>+SUBTOTAL(9,G1921)</f>
        <v>49487.29</v>
      </c>
    </row>
    <row r="1921" spans="2:7" hidden="1" outlineLevel="2">
      <c r="B1921" s="330" t="s">
        <v>2579</v>
      </c>
      <c r="C1921" s="121" t="s">
        <v>2580</v>
      </c>
      <c r="D1921" s="332" t="s">
        <v>43</v>
      </c>
      <c r="E1921" s="332">
        <v>1</v>
      </c>
      <c r="F1921" s="325">
        <v>49487.29</v>
      </c>
      <c r="G1921" s="436">
        <f>ROUND(E1921*F1921,2)</f>
        <v>49487.29</v>
      </c>
    </row>
    <row r="1922" spans="2:7" hidden="1" outlineLevel="2">
      <c r="B1922" s="331" t="s">
        <v>2581</v>
      </c>
      <c r="C1922" s="324" t="s">
        <v>2097</v>
      </c>
      <c r="D1922" s="332"/>
      <c r="E1922" s="332"/>
      <c r="F1922" s="325"/>
      <c r="G1922" s="435">
        <f>+SUBTOTAL(9,G1923:G1938)</f>
        <v>27356.07</v>
      </c>
    </row>
    <row r="1923" spans="2:7" hidden="1" outlineLevel="2">
      <c r="B1923" s="330" t="s">
        <v>2582</v>
      </c>
      <c r="C1923" s="121" t="s">
        <v>2583</v>
      </c>
      <c r="D1923" s="332" t="s">
        <v>43</v>
      </c>
      <c r="E1923" s="332">
        <v>1</v>
      </c>
      <c r="F1923" s="325">
        <v>2285.64</v>
      </c>
      <c r="G1923" s="436">
        <f t="shared" ref="G1923:G1938" si="47">ROUND(E1923*F1923,2)</f>
        <v>2285.64</v>
      </c>
    </row>
    <row r="1924" spans="2:7" hidden="1" outlineLevel="2">
      <c r="B1924" s="330" t="s">
        <v>2584</v>
      </c>
      <c r="C1924" s="121" t="s">
        <v>2585</v>
      </c>
      <c r="D1924" s="332" t="s">
        <v>43</v>
      </c>
      <c r="E1924" s="332">
        <v>1</v>
      </c>
      <c r="F1924" s="325">
        <v>1223.49</v>
      </c>
      <c r="G1924" s="436">
        <f t="shared" si="47"/>
        <v>1223.49</v>
      </c>
    </row>
    <row r="1925" spans="2:7" hidden="1" outlineLevel="2">
      <c r="B1925" s="330" t="s">
        <v>2586</v>
      </c>
      <c r="C1925" s="121" t="s">
        <v>2587</v>
      </c>
      <c r="D1925" s="332" t="s">
        <v>43</v>
      </c>
      <c r="E1925" s="332">
        <v>1</v>
      </c>
      <c r="F1925" s="325">
        <v>1184.9100000000001</v>
      </c>
      <c r="G1925" s="436">
        <f t="shared" si="47"/>
        <v>1184.9100000000001</v>
      </c>
    </row>
    <row r="1926" spans="2:7" hidden="1" outlineLevel="2">
      <c r="B1926" s="330" t="s">
        <v>2588</v>
      </c>
      <c r="C1926" s="121" t="s">
        <v>2589</v>
      </c>
      <c r="D1926" s="332" t="s">
        <v>43</v>
      </c>
      <c r="E1926" s="332">
        <v>1</v>
      </c>
      <c r="F1926" s="325">
        <v>1133.47</v>
      </c>
      <c r="G1926" s="436">
        <f t="shared" si="47"/>
        <v>1133.47</v>
      </c>
    </row>
    <row r="1927" spans="2:7" hidden="1" outlineLevel="2">
      <c r="B1927" s="330" t="s">
        <v>2590</v>
      </c>
      <c r="C1927" s="121" t="s">
        <v>2591</v>
      </c>
      <c r="D1927" s="332" t="s">
        <v>43</v>
      </c>
      <c r="E1927" s="332">
        <v>1</v>
      </c>
      <c r="F1927" s="325">
        <v>1120.1300000000001</v>
      </c>
      <c r="G1927" s="436">
        <f t="shared" si="47"/>
        <v>1120.1300000000001</v>
      </c>
    </row>
    <row r="1928" spans="2:7" hidden="1" outlineLevel="2">
      <c r="B1928" s="330" t="s">
        <v>2592</v>
      </c>
      <c r="C1928" s="121" t="s">
        <v>2593</v>
      </c>
      <c r="D1928" s="332" t="s">
        <v>43</v>
      </c>
      <c r="E1928" s="332">
        <v>1</v>
      </c>
      <c r="F1928" s="325">
        <v>1429.81</v>
      </c>
      <c r="G1928" s="436">
        <f t="shared" si="47"/>
        <v>1429.81</v>
      </c>
    </row>
    <row r="1929" spans="2:7" hidden="1" outlineLevel="2">
      <c r="B1929" s="330" t="s">
        <v>2594</v>
      </c>
      <c r="C1929" s="121" t="s">
        <v>2595</v>
      </c>
      <c r="D1929" s="332" t="s">
        <v>43</v>
      </c>
      <c r="E1929" s="332">
        <v>1</v>
      </c>
      <c r="F1929" s="325">
        <v>1395.76</v>
      </c>
      <c r="G1929" s="436">
        <f t="shared" si="47"/>
        <v>1395.76</v>
      </c>
    </row>
    <row r="1930" spans="2:7" hidden="1" outlineLevel="2">
      <c r="B1930" s="330" t="s">
        <v>2596</v>
      </c>
      <c r="C1930" s="121" t="s">
        <v>2597</v>
      </c>
      <c r="D1930" s="332" t="s">
        <v>43</v>
      </c>
      <c r="E1930" s="332">
        <v>1</v>
      </c>
      <c r="F1930" s="325">
        <v>1355.92</v>
      </c>
      <c r="G1930" s="436">
        <f t="shared" si="47"/>
        <v>1355.92</v>
      </c>
    </row>
    <row r="1931" spans="2:7" hidden="1" outlineLevel="2">
      <c r="B1931" s="330" t="s">
        <v>2598</v>
      </c>
      <c r="C1931" s="121" t="s">
        <v>2599</v>
      </c>
      <c r="D1931" s="332" t="s">
        <v>43</v>
      </c>
      <c r="E1931" s="332">
        <v>1</v>
      </c>
      <c r="F1931" s="325">
        <v>1296.96</v>
      </c>
      <c r="G1931" s="436">
        <f t="shared" si="47"/>
        <v>1296.96</v>
      </c>
    </row>
    <row r="1932" spans="2:7" hidden="1" outlineLevel="2">
      <c r="B1932" s="330" t="s">
        <v>2600</v>
      </c>
      <c r="C1932" s="121" t="s">
        <v>2601</v>
      </c>
      <c r="D1932" s="332" t="s">
        <v>43</v>
      </c>
      <c r="E1932" s="332">
        <v>1</v>
      </c>
      <c r="F1932" s="325">
        <v>1233.96</v>
      </c>
      <c r="G1932" s="436">
        <f t="shared" si="47"/>
        <v>1233.96</v>
      </c>
    </row>
    <row r="1933" spans="2:7" hidden="1" outlineLevel="2">
      <c r="B1933" s="330" t="s">
        <v>2602</v>
      </c>
      <c r="C1933" s="121" t="s">
        <v>2603</v>
      </c>
      <c r="D1933" s="332" t="s">
        <v>43</v>
      </c>
      <c r="E1933" s="332">
        <v>1</v>
      </c>
      <c r="F1933" s="325">
        <v>1064.6300000000001</v>
      </c>
      <c r="G1933" s="436">
        <f t="shared" si="47"/>
        <v>1064.6300000000001</v>
      </c>
    </row>
    <row r="1934" spans="2:7" hidden="1" outlineLevel="2">
      <c r="B1934" s="330" t="s">
        <v>2604</v>
      </c>
      <c r="C1934" s="121" t="s">
        <v>2605</v>
      </c>
      <c r="D1934" s="332" t="s">
        <v>43</v>
      </c>
      <c r="E1934" s="332">
        <v>1</v>
      </c>
      <c r="F1934" s="325">
        <v>2303.62</v>
      </c>
      <c r="G1934" s="436">
        <f t="shared" si="47"/>
        <v>2303.62</v>
      </c>
    </row>
    <row r="1935" spans="2:7" hidden="1" outlineLevel="2">
      <c r="B1935" s="330" t="s">
        <v>2606</v>
      </c>
      <c r="C1935" s="121" t="s">
        <v>2607</v>
      </c>
      <c r="D1935" s="332" t="s">
        <v>64</v>
      </c>
      <c r="E1935" s="332">
        <v>1</v>
      </c>
      <c r="F1935" s="325">
        <v>1210.3399999999999</v>
      </c>
      <c r="G1935" s="436">
        <f t="shared" si="47"/>
        <v>1210.3399999999999</v>
      </c>
    </row>
    <row r="1936" spans="2:7" hidden="1" outlineLevel="2">
      <c r="B1936" s="330" t="s">
        <v>2608</v>
      </c>
      <c r="C1936" s="121" t="s">
        <v>2609</v>
      </c>
      <c r="D1936" s="332" t="s">
        <v>43</v>
      </c>
      <c r="E1936" s="332">
        <v>1</v>
      </c>
      <c r="F1936" s="325">
        <v>2842.06</v>
      </c>
      <c r="G1936" s="436">
        <f t="shared" si="47"/>
        <v>2842.06</v>
      </c>
    </row>
    <row r="1937" spans="2:7" hidden="1" outlineLevel="2">
      <c r="B1937" s="330" t="s">
        <v>2610</v>
      </c>
      <c r="C1937" s="121" t="s">
        <v>2611</v>
      </c>
      <c r="D1937" s="332" t="s">
        <v>43</v>
      </c>
      <c r="E1937" s="332">
        <v>66</v>
      </c>
      <c r="F1937" s="325">
        <v>84.99</v>
      </c>
      <c r="G1937" s="436">
        <f t="shared" si="47"/>
        <v>5609.34</v>
      </c>
    </row>
    <row r="1938" spans="2:7" hidden="1" outlineLevel="2">
      <c r="B1938" s="330" t="s">
        <v>2612</v>
      </c>
      <c r="C1938" s="121" t="s">
        <v>2613</v>
      </c>
      <c r="D1938" s="332" t="s">
        <v>43</v>
      </c>
      <c r="E1938" s="332">
        <v>1</v>
      </c>
      <c r="F1938" s="325">
        <v>666.03</v>
      </c>
      <c r="G1938" s="436">
        <f t="shared" si="47"/>
        <v>666.03</v>
      </c>
    </row>
    <row r="1939" spans="2:7" hidden="1" outlineLevel="2">
      <c r="B1939" s="331" t="s">
        <v>2614</v>
      </c>
      <c r="C1939" s="324" t="s">
        <v>2147</v>
      </c>
      <c r="D1939" s="332"/>
      <c r="E1939" s="332"/>
      <c r="F1939" s="325"/>
      <c r="G1939" s="435">
        <f>+SUBTOTAL(9,G1940:G1945)</f>
        <v>106626.58</v>
      </c>
    </row>
    <row r="1940" spans="2:7" hidden="1" outlineLevel="2">
      <c r="B1940" s="330" t="s">
        <v>2615</v>
      </c>
      <c r="C1940" s="121" t="s">
        <v>2616</v>
      </c>
      <c r="D1940" s="332" t="s">
        <v>43</v>
      </c>
      <c r="E1940" s="332">
        <v>24</v>
      </c>
      <c r="F1940" s="325">
        <v>378.44</v>
      </c>
      <c r="G1940" s="436">
        <f t="shared" ref="G1940:G1945" si="48">ROUND(E1940*F1940,2)</f>
        <v>9082.56</v>
      </c>
    </row>
    <row r="1941" spans="2:7" hidden="1" outlineLevel="2">
      <c r="B1941" s="330" t="s">
        <v>2617</v>
      </c>
      <c r="C1941" s="121" t="s">
        <v>2151</v>
      </c>
      <c r="D1941" s="332" t="s">
        <v>1923</v>
      </c>
      <c r="E1941" s="332">
        <v>1</v>
      </c>
      <c r="F1941" s="325">
        <v>7758.1</v>
      </c>
      <c r="G1941" s="436">
        <f t="shared" si="48"/>
        <v>7758.1</v>
      </c>
    </row>
    <row r="1942" spans="2:7" hidden="1" outlineLevel="2">
      <c r="B1942" s="330" t="s">
        <v>2618</v>
      </c>
      <c r="C1942" s="121" t="s">
        <v>2153</v>
      </c>
      <c r="D1942" s="332" t="s">
        <v>1923</v>
      </c>
      <c r="E1942" s="332">
        <v>1</v>
      </c>
      <c r="F1942" s="325">
        <v>5582.04</v>
      </c>
      <c r="G1942" s="436">
        <f t="shared" si="48"/>
        <v>5582.04</v>
      </c>
    </row>
    <row r="1943" spans="2:7" hidden="1" outlineLevel="2">
      <c r="B1943" s="330" t="s">
        <v>2619</v>
      </c>
      <c r="C1943" s="121" t="s">
        <v>2155</v>
      </c>
      <c r="D1943" s="332" t="s">
        <v>1923</v>
      </c>
      <c r="E1943" s="332">
        <v>2</v>
      </c>
      <c r="F1943" s="325">
        <v>3784.44</v>
      </c>
      <c r="G1943" s="436">
        <f t="shared" si="48"/>
        <v>7568.88</v>
      </c>
    </row>
    <row r="1944" spans="2:7" hidden="1" outlineLevel="2">
      <c r="B1944" s="330" t="s">
        <v>2620</v>
      </c>
      <c r="C1944" s="121" t="s">
        <v>2621</v>
      </c>
      <c r="D1944" s="332" t="s">
        <v>2158</v>
      </c>
      <c r="E1944" s="332">
        <v>5</v>
      </c>
      <c r="F1944" s="325">
        <v>8514.99</v>
      </c>
      <c r="G1944" s="436">
        <f t="shared" si="48"/>
        <v>42574.95</v>
      </c>
    </row>
    <row r="1945" spans="2:7" hidden="1" outlineLevel="2">
      <c r="B1945" s="330" t="s">
        <v>2622</v>
      </c>
      <c r="C1945" s="121" t="s">
        <v>2160</v>
      </c>
      <c r="D1945" s="332" t="s">
        <v>2158</v>
      </c>
      <c r="E1945" s="332">
        <v>5</v>
      </c>
      <c r="F1945" s="325">
        <v>6812.01</v>
      </c>
      <c r="G1945" s="436">
        <f t="shared" si="48"/>
        <v>34060.050000000003</v>
      </c>
    </row>
    <row r="1946" spans="2:7" hidden="1" outlineLevel="1" collapsed="1">
      <c r="B1946" s="331">
        <v>2.0299999999999998</v>
      </c>
      <c r="C1946" s="324" t="s">
        <v>2623</v>
      </c>
      <c r="D1946" s="332"/>
      <c r="E1946" s="332"/>
      <c r="F1946" s="325"/>
      <c r="G1946" s="435">
        <f>+SUBTOTAL(9,G1947:G2190)</f>
        <v>968230.6100000001</v>
      </c>
    </row>
    <row r="1947" spans="2:7" hidden="1" outlineLevel="2">
      <c r="B1947" s="331" t="s">
        <v>2624</v>
      </c>
      <c r="C1947" s="324" t="s">
        <v>1647</v>
      </c>
      <c r="D1947" s="332"/>
      <c r="E1947" s="332"/>
      <c r="F1947" s="325"/>
      <c r="G1947" s="435">
        <f>+SUBTOTAL(9,G1948:G1972)</f>
        <v>70545.099999999991</v>
      </c>
    </row>
    <row r="1948" spans="2:7" hidden="1" outlineLevel="2">
      <c r="B1948" s="331" t="s">
        <v>2625</v>
      </c>
      <c r="C1948" s="324" t="s">
        <v>2626</v>
      </c>
      <c r="D1948" s="332"/>
      <c r="E1948" s="332"/>
      <c r="F1948" s="325"/>
      <c r="G1948" s="435">
        <f>+SUBTOTAL(9,G1949:G1950)</f>
        <v>9968.0099999999984</v>
      </c>
    </row>
    <row r="1949" spans="2:7" hidden="1" outlineLevel="2">
      <c r="B1949" s="330" t="s">
        <v>2627</v>
      </c>
      <c r="C1949" s="121" t="s">
        <v>2628</v>
      </c>
      <c r="D1949" s="332" t="s">
        <v>64</v>
      </c>
      <c r="E1949" s="332">
        <v>10.7</v>
      </c>
      <c r="F1949" s="325">
        <v>384.71</v>
      </c>
      <c r="G1949" s="436">
        <f>ROUND(E1949*F1949,2)</f>
        <v>4116.3999999999996</v>
      </c>
    </row>
    <row r="1950" spans="2:7" hidden="1" outlineLevel="2">
      <c r="B1950" s="330" t="s">
        <v>2629</v>
      </c>
      <c r="C1950" s="121" t="s">
        <v>2630</v>
      </c>
      <c r="D1950" s="332" t="s">
        <v>43</v>
      </c>
      <c r="E1950" s="332">
        <v>1</v>
      </c>
      <c r="F1950" s="325">
        <v>5851.61</v>
      </c>
      <c r="G1950" s="436">
        <f>ROUND(E1950*F1950,2)</f>
        <v>5851.61</v>
      </c>
    </row>
    <row r="1951" spans="2:7" hidden="1" outlineLevel="2">
      <c r="B1951" s="331" t="s">
        <v>2631</v>
      </c>
      <c r="C1951" s="324" t="s">
        <v>2632</v>
      </c>
      <c r="D1951" s="332"/>
      <c r="E1951" s="332"/>
      <c r="F1951" s="325"/>
      <c r="G1951" s="435">
        <f>+SUBTOTAL(9,G1952:G1969)</f>
        <v>50737.85</v>
      </c>
    </row>
    <row r="1952" spans="2:7" hidden="1" outlineLevel="2">
      <c r="B1952" s="330" t="s">
        <v>2633</v>
      </c>
      <c r="C1952" s="121" t="s">
        <v>1659</v>
      </c>
      <c r="D1952" s="332" t="s">
        <v>64</v>
      </c>
      <c r="E1952" s="332">
        <v>6.43</v>
      </c>
      <c r="F1952" s="325">
        <v>918.84</v>
      </c>
      <c r="G1952" s="436">
        <f t="shared" ref="G1952:G1969" si="49">ROUND(E1952*F1952,2)</f>
        <v>5908.14</v>
      </c>
    </row>
    <row r="1953" spans="2:7" hidden="1" outlineLevel="2">
      <c r="B1953" s="330" t="s">
        <v>2634</v>
      </c>
      <c r="C1953" s="121" t="s">
        <v>2207</v>
      </c>
      <c r="D1953" s="332" t="s">
        <v>64</v>
      </c>
      <c r="E1953" s="332">
        <v>5.13</v>
      </c>
      <c r="F1953" s="325">
        <v>693.5</v>
      </c>
      <c r="G1953" s="436">
        <f t="shared" si="49"/>
        <v>3557.66</v>
      </c>
    </row>
    <row r="1954" spans="2:7" hidden="1" outlineLevel="2">
      <c r="B1954" s="330" t="s">
        <v>2635</v>
      </c>
      <c r="C1954" s="121" t="s">
        <v>1663</v>
      </c>
      <c r="D1954" s="332" t="s">
        <v>43</v>
      </c>
      <c r="E1954" s="332">
        <v>6</v>
      </c>
      <c r="F1954" s="325">
        <v>2331.6</v>
      </c>
      <c r="G1954" s="436">
        <f t="shared" si="49"/>
        <v>13989.6</v>
      </c>
    </row>
    <row r="1955" spans="2:7" hidden="1" outlineLevel="2">
      <c r="B1955" s="330" t="s">
        <v>2636</v>
      </c>
      <c r="C1955" s="121" t="s">
        <v>2637</v>
      </c>
      <c r="D1955" s="332" t="s">
        <v>43</v>
      </c>
      <c r="E1955" s="332">
        <v>6</v>
      </c>
      <c r="F1955" s="325">
        <v>1734.51</v>
      </c>
      <c r="G1955" s="436">
        <f t="shared" si="49"/>
        <v>10407.06</v>
      </c>
    </row>
    <row r="1956" spans="2:7" hidden="1" outlineLevel="2">
      <c r="B1956" s="330" t="s">
        <v>2638</v>
      </c>
      <c r="C1956" s="121" t="s">
        <v>2639</v>
      </c>
      <c r="D1956" s="332" t="s">
        <v>43</v>
      </c>
      <c r="E1956" s="332">
        <v>1</v>
      </c>
      <c r="F1956" s="325">
        <v>703.06</v>
      </c>
      <c r="G1956" s="436">
        <f t="shared" si="49"/>
        <v>703.06</v>
      </c>
    </row>
    <row r="1957" spans="2:7" hidden="1" outlineLevel="2">
      <c r="B1957" s="330" t="s">
        <v>2640</v>
      </c>
      <c r="C1957" s="121" t="s">
        <v>2641</v>
      </c>
      <c r="D1957" s="332" t="s">
        <v>43</v>
      </c>
      <c r="E1957" s="332">
        <v>1</v>
      </c>
      <c r="F1957" s="325">
        <v>562.45000000000005</v>
      </c>
      <c r="G1957" s="436">
        <f t="shared" si="49"/>
        <v>562.45000000000005</v>
      </c>
    </row>
    <row r="1958" spans="2:7" hidden="1" outlineLevel="2">
      <c r="B1958" s="330" t="s">
        <v>2642</v>
      </c>
      <c r="C1958" s="121" t="s">
        <v>1669</v>
      </c>
      <c r="D1958" s="332" t="s">
        <v>43</v>
      </c>
      <c r="E1958" s="332">
        <v>96</v>
      </c>
      <c r="F1958" s="325">
        <v>11.39</v>
      </c>
      <c r="G1958" s="436">
        <f t="shared" si="49"/>
        <v>1093.44</v>
      </c>
    </row>
    <row r="1959" spans="2:7" hidden="1" outlineLevel="2">
      <c r="B1959" s="330" t="s">
        <v>2643</v>
      </c>
      <c r="C1959" s="121" t="s">
        <v>2644</v>
      </c>
      <c r="D1959" s="332" t="s">
        <v>43</v>
      </c>
      <c r="E1959" s="332">
        <v>72</v>
      </c>
      <c r="F1959" s="325">
        <v>11.39</v>
      </c>
      <c r="G1959" s="436">
        <f t="shared" si="49"/>
        <v>820.08</v>
      </c>
    </row>
    <row r="1960" spans="2:7" hidden="1" outlineLevel="2">
      <c r="B1960" s="330" t="s">
        <v>2645</v>
      </c>
      <c r="C1960" s="121" t="s">
        <v>1673</v>
      </c>
      <c r="D1960" s="332" t="s">
        <v>43</v>
      </c>
      <c r="E1960" s="332">
        <v>8</v>
      </c>
      <c r="F1960" s="325">
        <v>14.35</v>
      </c>
      <c r="G1960" s="436">
        <f t="shared" si="49"/>
        <v>114.8</v>
      </c>
    </row>
    <row r="1961" spans="2:7" hidden="1" outlineLevel="2">
      <c r="B1961" s="330" t="s">
        <v>2646</v>
      </c>
      <c r="C1961" s="121" t="s">
        <v>2647</v>
      </c>
      <c r="D1961" s="332" t="s">
        <v>43</v>
      </c>
      <c r="E1961" s="332">
        <v>6</v>
      </c>
      <c r="F1961" s="325">
        <v>10.92</v>
      </c>
      <c r="G1961" s="436">
        <f t="shared" si="49"/>
        <v>65.52</v>
      </c>
    </row>
    <row r="1962" spans="2:7" hidden="1" outlineLevel="2">
      <c r="B1962" s="330" t="s">
        <v>2648</v>
      </c>
      <c r="C1962" s="121" t="s">
        <v>2649</v>
      </c>
      <c r="D1962" s="332" t="s">
        <v>43</v>
      </c>
      <c r="E1962" s="332">
        <v>1</v>
      </c>
      <c r="F1962" s="325">
        <v>657.81</v>
      </c>
      <c r="G1962" s="436">
        <f t="shared" si="49"/>
        <v>657.81</v>
      </c>
    </row>
    <row r="1963" spans="2:7" hidden="1" outlineLevel="2">
      <c r="B1963" s="330" t="s">
        <v>2650</v>
      </c>
      <c r="C1963" s="121" t="s">
        <v>2651</v>
      </c>
      <c r="D1963" s="332" t="s">
        <v>43</v>
      </c>
      <c r="E1963" s="332">
        <v>1</v>
      </c>
      <c r="F1963" s="325">
        <v>407.83</v>
      </c>
      <c r="G1963" s="436">
        <f t="shared" si="49"/>
        <v>407.83</v>
      </c>
    </row>
    <row r="1964" spans="2:7" hidden="1" outlineLevel="2">
      <c r="B1964" s="330" t="s">
        <v>2652</v>
      </c>
      <c r="C1964" s="121" t="s">
        <v>2653</v>
      </c>
      <c r="D1964" s="332" t="s">
        <v>43</v>
      </c>
      <c r="E1964" s="332">
        <v>2</v>
      </c>
      <c r="F1964" s="325">
        <v>1129.06</v>
      </c>
      <c r="G1964" s="436">
        <f t="shared" si="49"/>
        <v>2258.12</v>
      </c>
    </row>
    <row r="1965" spans="2:7" hidden="1" outlineLevel="2">
      <c r="B1965" s="330" t="s">
        <v>2654</v>
      </c>
      <c r="C1965" s="121" t="s">
        <v>2655</v>
      </c>
      <c r="D1965" s="332" t="s">
        <v>43</v>
      </c>
      <c r="E1965" s="332">
        <v>2</v>
      </c>
      <c r="F1965" s="325">
        <v>507.3</v>
      </c>
      <c r="G1965" s="436">
        <f t="shared" si="49"/>
        <v>1014.6</v>
      </c>
    </row>
    <row r="1966" spans="2:7" hidden="1" outlineLevel="2">
      <c r="B1966" s="330" t="s">
        <v>2656</v>
      </c>
      <c r="C1966" s="121" t="s">
        <v>2657</v>
      </c>
      <c r="D1966" s="332" t="s">
        <v>43</v>
      </c>
      <c r="E1966" s="332">
        <v>1</v>
      </c>
      <c r="F1966" s="325">
        <v>1454.32</v>
      </c>
      <c r="G1966" s="436">
        <f t="shared" si="49"/>
        <v>1454.32</v>
      </c>
    </row>
    <row r="1967" spans="2:7" hidden="1" outlineLevel="2">
      <c r="B1967" s="330" t="s">
        <v>2658</v>
      </c>
      <c r="C1967" s="121" t="s">
        <v>1691</v>
      </c>
      <c r="D1967" s="332" t="s">
        <v>43</v>
      </c>
      <c r="E1967" s="332">
        <v>1</v>
      </c>
      <c r="F1967" s="325">
        <v>1155.76</v>
      </c>
      <c r="G1967" s="436">
        <f t="shared" si="49"/>
        <v>1155.76</v>
      </c>
    </row>
    <row r="1968" spans="2:7" hidden="1" outlineLevel="2">
      <c r="B1968" s="330" t="s">
        <v>2659</v>
      </c>
      <c r="C1968" s="121" t="s">
        <v>1695</v>
      </c>
      <c r="D1968" s="332" t="s">
        <v>43</v>
      </c>
      <c r="E1968" s="332">
        <v>1</v>
      </c>
      <c r="F1968" s="325">
        <v>715.99</v>
      </c>
      <c r="G1968" s="436">
        <f t="shared" si="49"/>
        <v>715.99</v>
      </c>
    </row>
    <row r="1969" spans="2:7" hidden="1" outlineLevel="2">
      <c r="B1969" s="330" t="s">
        <v>2660</v>
      </c>
      <c r="C1969" s="121" t="s">
        <v>2661</v>
      </c>
      <c r="D1969" s="332" t="s">
        <v>43</v>
      </c>
      <c r="E1969" s="332">
        <v>1</v>
      </c>
      <c r="F1969" s="325">
        <v>5851.61</v>
      </c>
      <c r="G1969" s="436">
        <f t="shared" si="49"/>
        <v>5851.61</v>
      </c>
    </row>
    <row r="1970" spans="2:7" hidden="1" outlineLevel="2">
      <c r="B1970" s="331" t="s">
        <v>2662</v>
      </c>
      <c r="C1970" s="324" t="s">
        <v>2663</v>
      </c>
      <c r="D1970" s="332"/>
      <c r="E1970" s="332"/>
      <c r="F1970" s="325"/>
      <c r="G1970" s="435">
        <f>+SUBTOTAL(9,G1971:G1972)</f>
        <v>9839.24</v>
      </c>
    </row>
    <row r="1971" spans="2:7" hidden="1" outlineLevel="2">
      <c r="B1971" s="330" t="s">
        <v>2664</v>
      </c>
      <c r="C1971" s="121" t="s">
        <v>2207</v>
      </c>
      <c r="D1971" s="332" t="s">
        <v>64</v>
      </c>
      <c r="E1971" s="332">
        <v>5.75</v>
      </c>
      <c r="F1971" s="325">
        <v>693.5</v>
      </c>
      <c r="G1971" s="436">
        <f>ROUND(E1971*F1971,2)</f>
        <v>3987.63</v>
      </c>
    </row>
    <row r="1972" spans="2:7" hidden="1" outlineLevel="2">
      <c r="B1972" s="330" t="s">
        <v>2665</v>
      </c>
      <c r="C1972" s="121" t="s">
        <v>2666</v>
      </c>
      <c r="D1972" s="332" t="s">
        <v>43</v>
      </c>
      <c r="E1972" s="332">
        <v>1</v>
      </c>
      <c r="F1972" s="325">
        <v>5851.61</v>
      </c>
      <c r="G1972" s="436">
        <f>ROUND(E1972*F1972,2)</f>
        <v>5851.61</v>
      </c>
    </row>
    <row r="1973" spans="2:7" hidden="1" outlineLevel="2">
      <c r="B1973" s="331" t="s">
        <v>2667</v>
      </c>
      <c r="C1973" s="324" t="s">
        <v>1731</v>
      </c>
      <c r="D1973" s="332"/>
      <c r="E1973" s="332"/>
      <c r="F1973" s="325"/>
      <c r="G1973" s="435">
        <f>+SUBTOTAL(9,G1974:G2136)</f>
        <v>476140.11000000016</v>
      </c>
    </row>
    <row r="1974" spans="2:7" hidden="1" outlineLevel="2">
      <c r="B1974" s="331" t="s">
        <v>2668</v>
      </c>
      <c r="C1974" s="324" t="s">
        <v>1733</v>
      </c>
      <c r="D1974" s="332"/>
      <c r="E1974" s="332"/>
      <c r="F1974" s="325"/>
      <c r="G1974" s="435">
        <f>+SUBTOTAL(9,G1975:G1982)</f>
        <v>5319.71</v>
      </c>
    </row>
    <row r="1975" spans="2:7" hidden="1" outlineLevel="2">
      <c r="B1975" s="330" t="s">
        <v>2669</v>
      </c>
      <c r="C1975" s="121" t="s">
        <v>1735</v>
      </c>
      <c r="D1975" s="332" t="s">
        <v>43</v>
      </c>
      <c r="E1975" s="332">
        <v>4</v>
      </c>
      <c r="F1975" s="325">
        <v>76.59</v>
      </c>
      <c r="G1975" s="436">
        <f t="shared" ref="G1975:G1982" si="50">ROUND(E1975*F1975,2)</f>
        <v>306.36</v>
      </c>
    </row>
    <row r="1976" spans="2:7" hidden="1" outlineLevel="2">
      <c r="B1976" s="330" t="s">
        <v>2670</v>
      </c>
      <c r="C1976" s="121" t="s">
        <v>1737</v>
      </c>
      <c r="D1976" s="332" t="s">
        <v>43</v>
      </c>
      <c r="E1976" s="332">
        <v>8</v>
      </c>
      <c r="F1976" s="325">
        <v>149.63999999999999</v>
      </c>
      <c r="G1976" s="436">
        <f t="shared" si="50"/>
        <v>1197.1199999999999</v>
      </c>
    </row>
    <row r="1977" spans="2:7" hidden="1" outlineLevel="2">
      <c r="B1977" s="330" t="s">
        <v>2671</v>
      </c>
      <c r="C1977" s="121" t="s">
        <v>1739</v>
      </c>
      <c r="D1977" s="332" t="s">
        <v>43</v>
      </c>
      <c r="E1977" s="332">
        <v>8</v>
      </c>
      <c r="F1977" s="325">
        <v>81.680000000000007</v>
      </c>
      <c r="G1977" s="436">
        <f t="shared" si="50"/>
        <v>653.44000000000005</v>
      </c>
    </row>
    <row r="1978" spans="2:7" hidden="1" outlineLevel="2">
      <c r="B1978" s="330" t="s">
        <v>2672</v>
      </c>
      <c r="C1978" s="121" t="s">
        <v>1743</v>
      </c>
      <c r="D1978" s="332" t="s">
        <v>43</v>
      </c>
      <c r="E1978" s="332">
        <v>1</v>
      </c>
      <c r="F1978" s="325">
        <v>72.3</v>
      </c>
      <c r="G1978" s="436">
        <f t="shared" si="50"/>
        <v>72.3</v>
      </c>
    </row>
    <row r="1979" spans="2:7" ht="30" hidden="1" outlineLevel="2">
      <c r="B1979" s="330" t="s">
        <v>2673</v>
      </c>
      <c r="C1979" s="121" t="s">
        <v>1745</v>
      </c>
      <c r="D1979" s="332" t="s">
        <v>441</v>
      </c>
      <c r="E1979" s="332">
        <v>5</v>
      </c>
      <c r="F1979" s="325">
        <v>196.54</v>
      </c>
      <c r="G1979" s="436">
        <f t="shared" si="50"/>
        <v>982.7</v>
      </c>
    </row>
    <row r="1980" spans="2:7" hidden="1" outlineLevel="2">
      <c r="B1980" s="330" t="s">
        <v>2674</v>
      </c>
      <c r="C1980" s="121" t="s">
        <v>1747</v>
      </c>
      <c r="D1980" s="332" t="s">
        <v>441</v>
      </c>
      <c r="E1980" s="332">
        <v>1</v>
      </c>
      <c r="F1980" s="325">
        <v>199.96</v>
      </c>
      <c r="G1980" s="436">
        <f t="shared" si="50"/>
        <v>199.96</v>
      </c>
    </row>
    <row r="1981" spans="2:7" hidden="1" outlineLevel="2">
      <c r="B1981" s="330" t="s">
        <v>2675</v>
      </c>
      <c r="C1981" s="121" t="s">
        <v>1751</v>
      </c>
      <c r="D1981" s="332" t="s">
        <v>43</v>
      </c>
      <c r="E1981" s="332">
        <v>3</v>
      </c>
      <c r="F1981" s="325">
        <v>172.52</v>
      </c>
      <c r="G1981" s="436">
        <f t="shared" si="50"/>
        <v>517.55999999999995</v>
      </c>
    </row>
    <row r="1982" spans="2:7" hidden="1" outlineLevel="2">
      <c r="B1982" s="330" t="s">
        <v>2676</v>
      </c>
      <c r="C1982" s="121" t="s">
        <v>1753</v>
      </c>
      <c r="D1982" s="332" t="s">
        <v>43</v>
      </c>
      <c r="E1982" s="332">
        <v>7</v>
      </c>
      <c r="F1982" s="325">
        <v>198.61</v>
      </c>
      <c r="G1982" s="436">
        <f t="shared" si="50"/>
        <v>1390.27</v>
      </c>
    </row>
    <row r="1983" spans="2:7" hidden="1" outlineLevel="2">
      <c r="B1983" s="331" t="s">
        <v>2677</v>
      </c>
      <c r="C1983" s="324" t="s">
        <v>1755</v>
      </c>
      <c r="D1983" s="332"/>
      <c r="E1983" s="332"/>
      <c r="F1983" s="325"/>
      <c r="G1983" s="435">
        <f>+SUBTOTAL(9,G1984:G1988)</f>
        <v>3960.08</v>
      </c>
    </row>
    <row r="1984" spans="2:7" hidden="1" outlineLevel="2">
      <c r="B1984" s="330" t="s">
        <v>2678</v>
      </c>
      <c r="C1984" s="121" t="s">
        <v>1763</v>
      </c>
      <c r="D1984" s="332" t="s">
        <v>64</v>
      </c>
      <c r="E1984" s="332">
        <v>50.1</v>
      </c>
      <c r="F1984" s="325">
        <v>19.71</v>
      </c>
      <c r="G1984" s="436">
        <f>ROUND(E1984*F1984,2)</f>
        <v>987.47</v>
      </c>
    </row>
    <row r="1985" spans="2:7" hidden="1" outlineLevel="2">
      <c r="B1985" s="330" t="s">
        <v>2679</v>
      </c>
      <c r="C1985" s="121" t="s">
        <v>1765</v>
      </c>
      <c r="D1985" s="332" t="s">
        <v>64</v>
      </c>
      <c r="E1985" s="332">
        <v>29.3</v>
      </c>
      <c r="F1985" s="325">
        <v>5.61</v>
      </c>
      <c r="G1985" s="436">
        <f>ROUND(E1985*F1985,2)</f>
        <v>164.37</v>
      </c>
    </row>
    <row r="1986" spans="2:7" hidden="1" outlineLevel="2">
      <c r="B1986" s="330" t="s">
        <v>2680</v>
      </c>
      <c r="C1986" s="121" t="s">
        <v>1767</v>
      </c>
      <c r="D1986" s="332" t="s">
        <v>64</v>
      </c>
      <c r="E1986" s="332">
        <v>75.099999999999994</v>
      </c>
      <c r="F1986" s="325">
        <v>5.52</v>
      </c>
      <c r="G1986" s="436">
        <f>ROUND(E1986*F1986,2)</f>
        <v>414.55</v>
      </c>
    </row>
    <row r="1987" spans="2:7" hidden="1" outlineLevel="2">
      <c r="B1987" s="330" t="s">
        <v>2681</v>
      </c>
      <c r="C1987" s="121" t="s">
        <v>1771</v>
      </c>
      <c r="D1987" s="332" t="s">
        <v>64</v>
      </c>
      <c r="E1987" s="332">
        <v>2.1</v>
      </c>
      <c r="F1987" s="325">
        <v>52.58</v>
      </c>
      <c r="G1987" s="436">
        <f>ROUND(E1987*F1987,2)</f>
        <v>110.42</v>
      </c>
    </row>
    <row r="1988" spans="2:7" hidden="1" outlineLevel="2">
      <c r="B1988" s="330" t="s">
        <v>2682</v>
      </c>
      <c r="C1988" s="121" t="s">
        <v>1773</v>
      </c>
      <c r="D1988" s="332" t="s">
        <v>64</v>
      </c>
      <c r="E1988" s="332">
        <v>122.1</v>
      </c>
      <c r="F1988" s="325">
        <v>18.7</v>
      </c>
      <c r="G1988" s="436">
        <f>ROUND(E1988*F1988,2)</f>
        <v>2283.27</v>
      </c>
    </row>
    <row r="1989" spans="2:7" hidden="1" outlineLevel="2">
      <c r="B1989" s="331" t="s">
        <v>2683</v>
      </c>
      <c r="C1989" s="324" t="s">
        <v>1777</v>
      </c>
      <c r="D1989" s="332"/>
      <c r="E1989" s="332"/>
      <c r="F1989" s="325"/>
      <c r="G1989" s="435">
        <f>+SUBTOTAL(9,G1990:G1998)</f>
        <v>32990.46</v>
      </c>
    </row>
    <row r="1990" spans="2:7" hidden="1" outlineLevel="2">
      <c r="B1990" s="330" t="s">
        <v>2684</v>
      </c>
      <c r="C1990" s="121" t="s">
        <v>1785</v>
      </c>
      <c r="D1990" s="332" t="s">
        <v>64</v>
      </c>
      <c r="E1990" s="332">
        <v>85</v>
      </c>
      <c r="F1990" s="325">
        <v>32.68</v>
      </c>
      <c r="G1990" s="436">
        <f t="shared" ref="G1990:G1998" si="51">ROUND(E1990*F1990,2)</f>
        <v>2777.8</v>
      </c>
    </row>
    <row r="1991" spans="2:7" hidden="1" outlineLevel="2">
      <c r="B1991" s="330" t="s">
        <v>2685</v>
      </c>
      <c r="C1991" s="121" t="s">
        <v>1787</v>
      </c>
      <c r="D1991" s="332" t="s">
        <v>64</v>
      </c>
      <c r="E1991" s="332">
        <v>29.5</v>
      </c>
      <c r="F1991" s="325">
        <v>35.74</v>
      </c>
      <c r="G1991" s="436">
        <f t="shared" si="51"/>
        <v>1054.33</v>
      </c>
    </row>
    <row r="1992" spans="2:7" hidden="1" outlineLevel="2">
      <c r="B1992" s="330" t="s">
        <v>2686</v>
      </c>
      <c r="C1992" s="121" t="s">
        <v>1789</v>
      </c>
      <c r="D1992" s="332" t="s">
        <v>64</v>
      </c>
      <c r="E1992" s="332">
        <v>14</v>
      </c>
      <c r="F1992" s="325">
        <v>23.89</v>
      </c>
      <c r="G1992" s="436">
        <f t="shared" si="51"/>
        <v>334.46</v>
      </c>
    </row>
    <row r="1993" spans="2:7" hidden="1" outlineLevel="2">
      <c r="B1993" s="330" t="s">
        <v>2687</v>
      </c>
      <c r="C1993" s="121" t="s">
        <v>2284</v>
      </c>
      <c r="D1993" s="332" t="s">
        <v>64</v>
      </c>
      <c r="E1993" s="332">
        <v>29.5</v>
      </c>
      <c r="F1993" s="325">
        <v>23.89</v>
      </c>
      <c r="G1993" s="436">
        <f t="shared" si="51"/>
        <v>704.76</v>
      </c>
    </row>
    <row r="1994" spans="2:7" hidden="1" outlineLevel="2">
      <c r="B1994" s="330" t="s">
        <v>2688</v>
      </c>
      <c r="C1994" s="121" t="s">
        <v>1797</v>
      </c>
      <c r="D1994" s="332" t="s">
        <v>64</v>
      </c>
      <c r="E1994" s="332">
        <v>205.3</v>
      </c>
      <c r="F1994" s="325">
        <v>17.37</v>
      </c>
      <c r="G1994" s="436">
        <f t="shared" si="51"/>
        <v>3566.06</v>
      </c>
    </row>
    <row r="1995" spans="2:7" hidden="1" outlineLevel="2">
      <c r="B1995" s="330" t="s">
        <v>2689</v>
      </c>
      <c r="C1995" s="121" t="s">
        <v>1799</v>
      </c>
      <c r="D1995" s="332" t="s">
        <v>64</v>
      </c>
      <c r="E1995" s="332">
        <v>382.6</v>
      </c>
      <c r="F1995" s="325">
        <v>35.74</v>
      </c>
      <c r="G1995" s="436">
        <f t="shared" si="51"/>
        <v>13674.12</v>
      </c>
    </row>
    <row r="1996" spans="2:7" hidden="1" outlineLevel="2">
      <c r="B1996" s="330" t="s">
        <v>2690</v>
      </c>
      <c r="C1996" s="121" t="s">
        <v>1801</v>
      </c>
      <c r="D1996" s="332" t="s">
        <v>64</v>
      </c>
      <c r="E1996" s="332">
        <v>235.5</v>
      </c>
      <c r="F1996" s="325">
        <v>8.3699999999999992</v>
      </c>
      <c r="G1996" s="436">
        <f t="shared" si="51"/>
        <v>1971.14</v>
      </c>
    </row>
    <row r="1997" spans="2:7" ht="30" hidden="1" outlineLevel="2">
      <c r="B1997" s="330" t="s">
        <v>2691</v>
      </c>
      <c r="C1997" s="121" t="s">
        <v>1803</v>
      </c>
      <c r="D1997" s="332" t="s">
        <v>64</v>
      </c>
      <c r="E1997" s="332">
        <v>117.8</v>
      </c>
      <c r="F1997" s="325">
        <v>8.3699999999999992</v>
      </c>
      <c r="G1997" s="436">
        <f t="shared" si="51"/>
        <v>985.99</v>
      </c>
    </row>
    <row r="1998" spans="2:7" hidden="1" outlineLevel="2">
      <c r="B1998" s="330" t="s">
        <v>2692</v>
      </c>
      <c r="C1998" s="121" t="s">
        <v>1805</v>
      </c>
      <c r="D1998" s="332" t="s">
        <v>64</v>
      </c>
      <c r="E1998" s="332">
        <v>108</v>
      </c>
      <c r="F1998" s="325">
        <v>73.349999999999994</v>
      </c>
      <c r="G1998" s="436">
        <f t="shared" si="51"/>
        <v>7921.8</v>
      </c>
    </row>
    <row r="1999" spans="2:7" hidden="1" outlineLevel="2">
      <c r="B1999" s="331" t="s">
        <v>2693</v>
      </c>
      <c r="C1999" s="324" t="s">
        <v>1807</v>
      </c>
      <c r="D1999" s="332"/>
      <c r="E1999" s="332"/>
      <c r="F1999" s="325"/>
      <c r="G1999" s="435">
        <f>+SUBTOTAL(9,G2000)</f>
        <v>3192.17</v>
      </c>
    </row>
    <row r="2000" spans="2:7" hidden="1" outlineLevel="2">
      <c r="B2000" s="330" t="s">
        <v>2694</v>
      </c>
      <c r="C2000" s="121" t="s">
        <v>1809</v>
      </c>
      <c r="D2000" s="332" t="s">
        <v>43</v>
      </c>
      <c r="E2000" s="332">
        <v>1</v>
      </c>
      <c r="F2000" s="325">
        <v>3192.17</v>
      </c>
      <c r="G2000" s="436">
        <f>ROUND(E2000*F2000,2)</f>
        <v>3192.17</v>
      </c>
    </row>
    <row r="2001" spans="2:7" hidden="1" outlineLevel="2">
      <c r="B2001" s="331" t="s">
        <v>2695</v>
      </c>
      <c r="C2001" s="324" t="s">
        <v>1813</v>
      </c>
      <c r="D2001" s="332"/>
      <c r="E2001" s="332"/>
      <c r="F2001" s="325"/>
      <c r="G2001" s="435">
        <f>+SUBTOTAL(9,G2002:G2009)</f>
        <v>6235.29</v>
      </c>
    </row>
    <row r="2002" spans="2:7" hidden="1" outlineLevel="2">
      <c r="B2002" s="330" t="s">
        <v>2696</v>
      </c>
      <c r="C2002" s="121" t="s">
        <v>1817</v>
      </c>
      <c r="D2002" s="332" t="s">
        <v>43</v>
      </c>
      <c r="E2002" s="332">
        <v>1</v>
      </c>
      <c r="F2002" s="325">
        <v>65.42</v>
      </c>
      <c r="G2002" s="436">
        <f t="shared" ref="G2002:G2009" si="52">ROUND(E2002*F2002,2)</f>
        <v>65.42</v>
      </c>
    </row>
    <row r="2003" spans="2:7" hidden="1" outlineLevel="2">
      <c r="B2003" s="330" t="s">
        <v>2697</v>
      </c>
      <c r="C2003" s="121" t="s">
        <v>1819</v>
      </c>
      <c r="D2003" s="332" t="s">
        <v>43</v>
      </c>
      <c r="E2003" s="332">
        <v>1</v>
      </c>
      <c r="F2003" s="325">
        <v>54.61</v>
      </c>
      <c r="G2003" s="436">
        <f t="shared" si="52"/>
        <v>54.61</v>
      </c>
    </row>
    <row r="2004" spans="2:7" hidden="1" outlineLevel="2">
      <c r="B2004" s="330" t="s">
        <v>2698</v>
      </c>
      <c r="C2004" s="121" t="s">
        <v>2298</v>
      </c>
      <c r="D2004" s="332" t="s">
        <v>43</v>
      </c>
      <c r="E2004" s="332">
        <v>3</v>
      </c>
      <c r="F2004" s="325">
        <v>141.08000000000001</v>
      </c>
      <c r="G2004" s="436">
        <f t="shared" si="52"/>
        <v>423.24</v>
      </c>
    </row>
    <row r="2005" spans="2:7" hidden="1" outlineLevel="2">
      <c r="B2005" s="330" t="s">
        <v>2699</v>
      </c>
      <c r="C2005" s="121" t="s">
        <v>1823</v>
      </c>
      <c r="D2005" s="332" t="s">
        <v>43</v>
      </c>
      <c r="E2005" s="332">
        <v>3</v>
      </c>
      <c r="F2005" s="325">
        <v>51.01</v>
      </c>
      <c r="G2005" s="436">
        <f t="shared" si="52"/>
        <v>153.03</v>
      </c>
    </row>
    <row r="2006" spans="2:7" hidden="1" outlineLevel="2">
      <c r="B2006" s="330" t="s">
        <v>2700</v>
      </c>
      <c r="C2006" s="121" t="s">
        <v>2302</v>
      </c>
      <c r="D2006" s="332" t="s">
        <v>43</v>
      </c>
      <c r="E2006" s="332">
        <v>1</v>
      </c>
      <c r="F2006" s="325">
        <v>152.79</v>
      </c>
      <c r="G2006" s="436">
        <f t="shared" si="52"/>
        <v>152.79</v>
      </c>
    </row>
    <row r="2007" spans="2:7" hidden="1" outlineLevel="2">
      <c r="B2007" s="330" t="s">
        <v>2701</v>
      </c>
      <c r="C2007" s="121" t="s">
        <v>2304</v>
      </c>
      <c r="D2007" s="332" t="s">
        <v>43</v>
      </c>
      <c r="E2007" s="332">
        <v>1</v>
      </c>
      <c r="F2007" s="325">
        <v>53.71</v>
      </c>
      <c r="G2007" s="436">
        <f t="shared" si="52"/>
        <v>53.71</v>
      </c>
    </row>
    <row r="2008" spans="2:7" hidden="1" outlineLevel="2">
      <c r="B2008" s="330" t="s">
        <v>2702</v>
      </c>
      <c r="C2008" s="121" t="s">
        <v>2703</v>
      </c>
      <c r="D2008" s="332" t="s">
        <v>43</v>
      </c>
      <c r="E2008" s="332">
        <v>1</v>
      </c>
      <c r="F2008" s="325">
        <v>118.56</v>
      </c>
      <c r="G2008" s="436">
        <f t="shared" si="52"/>
        <v>118.56</v>
      </c>
    </row>
    <row r="2009" spans="2:7" hidden="1" outlineLevel="2">
      <c r="B2009" s="330" t="s">
        <v>2704</v>
      </c>
      <c r="C2009" s="121" t="s">
        <v>1827</v>
      </c>
      <c r="D2009" s="332" t="s">
        <v>43</v>
      </c>
      <c r="E2009" s="332">
        <v>1</v>
      </c>
      <c r="F2009" s="325">
        <v>5213.93</v>
      </c>
      <c r="G2009" s="436">
        <f t="shared" si="52"/>
        <v>5213.93</v>
      </c>
    </row>
    <row r="2010" spans="2:7" hidden="1" outlineLevel="2">
      <c r="B2010" s="331" t="s">
        <v>2705</v>
      </c>
      <c r="C2010" s="324" t="s">
        <v>1829</v>
      </c>
      <c r="D2010" s="332"/>
      <c r="E2010" s="332"/>
      <c r="F2010" s="325"/>
      <c r="G2010" s="435">
        <f>+SUBTOTAL(9,G2011:G2016)</f>
        <v>10084.83</v>
      </c>
    </row>
    <row r="2011" spans="2:7" hidden="1" outlineLevel="2">
      <c r="B2011" s="330" t="s">
        <v>2706</v>
      </c>
      <c r="C2011" s="121" t="s">
        <v>1831</v>
      </c>
      <c r="D2011" s="332" t="s">
        <v>43</v>
      </c>
      <c r="E2011" s="332">
        <v>26</v>
      </c>
      <c r="F2011" s="325">
        <v>95.49</v>
      </c>
      <c r="G2011" s="436">
        <f t="shared" ref="G2011:G2016" si="53">ROUND(E2011*F2011,2)</f>
        <v>2482.7399999999998</v>
      </c>
    </row>
    <row r="2012" spans="2:7" hidden="1" outlineLevel="2">
      <c r="B2012" s="330" t="s">
        <v>2707</v>
      </c>
      <c r="C2012" s="121" t="s">
        <v>1833</v>
      </c>
      <c r="D2012" s="332" t="s">
        <v>43</v>
      </c>
      <c r="E2012" s="332">
        <v>1</v>
      </c>
      <c r="F2012" s="325">
        <v>91.89</v>
      </c>
      <c r="G2012" s="436">
        <f t="shared" si="53"/>
        <v>91.89</v>
      </c>
    </row>
    <row r="2013" spans="2:7" hidden="1" outlineLevel="2">
      <c r="B2013" s="330" t="s">
        <v>2708</v>
      </c>
      <c r="C2013" s="121" t="s">
        <v>1835</v>
      </c>
      <c r="D2013" s="332" t="s">
        <v>43</v>
      </c>
      <c r="E2013" s="332">
        <v>1</v>
      </c>
      <c r="F2013" s="325">
        <v>95.49</v>
      </c>
      <c r="G2013" s="436">
        <f t="shared" si="53"/>
        <v>95.49</v>
      </c>
    </row>
    <row r="2014" spans="2:7" hidden="1" outlineLevel="2">
      <c r="B2014" s="330" t="s">
        <v>2709</v>
      </c>
      <c r="C2014" s="121" t="s">
        <v>1831</v>
      </c>
      <c r="D2014" s="332" t="s">
        <v>43</v>
      </c>
      <c r="E2014" s="332">
        <v>9</v>
      </c>
      <c r="F2014" s="325">
        <v>95.49</v>
      </c>
      <c r="G2014" s="436">
        <f t="shared" si="53"/>
        <v>859.41</v>
      </c>
    </row>
    <row r="2015" spans="2:7" hidden="1" outlineLevel="2">
      <c r="B2015" s="330" t="s">
        <v>2710</v>
      </c>
      <c r="C2015" s="121" t="s">
        <v>1838</v>
      </c>
      <c r="D2015" s="332" t="s">
        <v>43</v>
      </c>
      <c r="E2015" s="332">
        <v>5</v>
      </c>
      <c r="F2015" s="325">
        <v>158.44</v>
      </c>
      <c r="G2015" s="436">
        <f t="shared" si="53"/>
        <v>792.2</v>
      </c>
    </row>
    <row r="2016" spans="2:7" hidden="1" outlineLevel="2">
      <c r="B2016" s="330" t="s">
        <v>2711</v>
      </c>
      <c r="C2016" s="121" t="s">
        <v>1842</v>
      </c>
      <c r="D2016" s="332" t="s">
        <v>43</v>
      </c>
      <c r="E2016" s="332">
        <v>7</v>
      </c>
      <c r="F2016" s="325">
        <v>823.3</v>
      </c>
      <c r="G2016" s="436">
        <f t="shared" si="53"/>
        <v>5763.1</v>
      </c>
    </row>
    <row r="2017" spans="2:7" hidden="1" outlineLevel="2">
      <c r="B2017" s="331" t="s">
        <v>2712</v>
      </c>
      <c r="C2017" s="324" t="s">
        <v>66</v>
      </c>
      <c r="D2017" s="332"/>
      <c r="E2017" s="332"/>
      <c r="F2017" s="325"/>
      <c r="G2017" s="435">
        <f>+SUBTOTAL(9,G2018:G2021)</f>
        <v>2507.5100000000002</v>
      </c>
    </row>
    <row r="2018" spans="2:7" hidden="1" outlineLevel="2">
      <c r="B2018" s="330" t="s">
        <v>2713</v>
      </c>
      <c r="C2018" s="121" t="s">
        <v>2315</v>
      </c>
      <c r="D2018" s="332" t="s">
        <v>69</v>
      </c>
      <c r="E2018" s="332">
        <v>15.3</v>
      </c>
      <c r="F2018" s="325">
        <v>41.23</v>
      </c>
      <c r="G2018" s="436">
        <f>ROUND(E2018*F2018,2)</f>
        <v>630.82000000000005</v>
      </c>
    </row>
    <row r="2019" spans="2:7" hidden="1" outlineLevel="2">
      <c r="B2019" s="330" t="s">
        <v>2714</v>
      </c>
      <c r="C2019" s="121" t="s">
        <v>1845</v>
      </c>
      <c r="D2019" s="332" t="s">
        <v>69</v>
      </c>
      <c r="E2019" s="332">
        <v>3.75</v>
      </c>
      <c r="F2019" s="325">
        <v>41.23</v>
      </c>
      <c r="G2019" s="436">
        <f>ROUND(E2019*F2019,2)</f>
        <v>154.61000000000001</v>
      </c>
    </row>
    <row r="2020" spans="2:7" hidden="1" outlineLevel="2">
      <c r="B2020" s="330" t="s">
        <v>2715</v>
      </c>
      <c r="C2020" s="121" t="s">
        <v>2318</v>
      </c>
      <c r="D2020" s="332" t="s">
        <v>69</v>
      </c>
      <c r="E2020" s="332">
        <v>18.3</v>
      </c>
      <c r="F2020" s="325">
        <v>65.97</v>
      </c>
      <c r="G2020" s="436">
        <f>ROUND(E2020*F2020,2)</f>
        <v>1207.25</v>
      </c>
    </row>
    <row r="2021" spans="2:7" hidden="1" outlineLevel="2">
      <c r="B2021" s="330" t="s">
        <v>2716</v>
      </c>
      <c r="C2021" s="121" t="s">
        <v>1851</v>
      </c>
      <c r="D2021" s="332" t="s">
        <v>69</v>
      </c>
      <c r="E2021" s="332">
        <v>45.2</v>
      </c>
      <c r="F2021" s="325">
        <v>11.39</v>
      </c>
      <c r="G2021" s="436">
        <f>ROUND(E2021*F2021,2)</f>
        <v>514.83000000000004</v>
      </c>
    </row>
    <row r="2022" spans="2:7" hidden="1" outlineLevel="2">
      <c r="B2022" s="331" t="s">
        <v>2717</v>
      </c>
      <c r="C2022" s="324" t="s">
        <v>1853</v>
      </c>
      <c r="D2022" s="332"/>
      <c r="E2022" s="332"/>
      <c r="F2022" s="325"/>
      <c r="G2022" s="435">
        <f>+SUBTOTAL(9,G2023:G2026)</f>
        <v>24579.13</v>
      </c>
    </row>
    <row r="2023" spans="2:7" hidden="1" outlineLevel="2">
      <c r="B2023" s="330" t="s">
        <v>2718</v>
      </c>
      <c r="C2023" s="121" t="s">
        <v>1857</v>
      </c>
      <c r="D2023" s="332" t="s">
        <v>43</v>
      </c>
      <c r="E2023" s="332">
        <v>7</v>
      </c>
      <c r="F2023" s="325">
        <v>448.37</v>
      </c>
      <c r="G2023" s="436">
        <f>ROUND(E2023*F2023,2)</f>
        <v>3138.59</v>
      </c>
    </row>
    <row r="2024" spans="2:7" hidden="1" outlineLevel="2">
      <c r="B2024" s="330" t="s">
        <v>2719</v>
      </c>
      <c r="C2024" s="121" t="s">
        <v>1859</v>
      </c>
      <c r="D2024" s="332" t="s">
        <v>43</v>
      </c>
      <c r="E2024" s="332">
        <v>10</v>
      </c>
      <c r="F2024" s="325">
        <v>437.56</v>
      </c>
      <c r="G2024" s="436">
        <f>ROUND(E2024*F2024,2)</f>
        <v>4375.6000000000004</v>
      </c>
    </row>
    <row r="2025" spans="2:7" hidden="1" outlineLevel="2">
      <c r="B2025" s="330" t="s">
        <v>2720</v>
      </c>
      <c r="C2025" s="121" t="s">
        <v>1861</v>
      </c>
      <c r="D2025" s="332" t="s">
        <v>43</v>
      </c>
      <c r="E2025" s="332">
        <v>6.5</v>
      </c>
      <c r="F2025" s="325">
        <v>432.63</v>
      </c>
      <c r="G2025" s="436">
        <f>ROUND(E2025*F2025,2)</f>
        <v>2812.1</v>
      </c>
    </row>
    <row r="2026" spans="2:7" hidden="1" outlineLevel="2">
      <c r="B2026" s="330" t="s">
        <v>2721</v>
      </c>
      <c r="C2026" s="121" t="s">
        <v>1863</v>
      </c>
      <c r="D2026" s="332" t="s">
        <v>43</v>
      </c>
      <c r="E2026" s="332">
        <v>7</v>
      </c>
      <c r="F2026" s="325">
        <v>2036.12</v>
      </c>
      <c r="G2026" s="436">
        <f>ROUND(E2026*F2026,2)</f>
        <v>14252.84</v>
      </c>
    </row>
    <row r="2027" spans="2:7" hidden="1" outlineLevel="2">
      <c r="B2027" s="331" t="s">
        <v>2722</v>
      </c>
      <c r="C2027" s="324" t="s">
        <v>1865</v>
      </c>
      <c r="D2027" s="332"/>
      <c r="E2027" s="332"/>
      <c r="F2027" s="325"/>
      <c r="G2027" s="435">
        <f>+SUBTOTAL(9,G2028)</f>
        <v>11271.4</v>
      </c>
    </row>
    <row r="2028" spans="2:7" hidden="1" outlineLevel="2">
      <c r="B2028" s="330" t="s">
        <v>2723</v>
      </c>
      <c r="C2028" s="121" t="s">
        <v>1867</v>
      </c>
      <c r="D2028" s="332" t="s">
        <v>43</v>
      </c>
      <c r="E2028" s="332">
        <v>7</v>
      </c>
      <c r="F2028" s="325">
        <v>1610.2</v>
      </c>
      <c r="G2028" s="436">
        <f>ROUND(E2028*F2028,2)</f>
        <v>11271.4</v>
      </c>
    </row>
    <row r="2029" spans="2:7" hidden="1" outlineLevel="2">
      <c r="B2029" s="331" t="s">
        <v>2724</v>
      </c>
      <c r="C2029" s="324" t="s">
        <v>1869</v>
      </c>
      <c r="D2029" s="332"/>
      <c r="E2029" s="332"/>
      <c r="F2029" s="325"/>
      <c r="G2029" s="435">
        <f>+SUBTOTAL(9,G2030)</f>
        <v>3289.52</v>
      </c>
    </row>
    <row r="2030" spans="2:7" hidden="1" outlineLevel="2">
      <c r="B2030" s="330" t="s">
        <v>2725</v>
      </c>
      <c r="C2030" s="121" t="s">
        <v>1871</v>
      </c>
      <c r="D2030" s="332" t="s">
        <v>1872</v>
      </c>
      <c r="E2030" s="332">
        <v>1</v>
      </c>
      <c r="F2030" s="325">
        <v>3289.52</v>
      </c>
      <c r="G2030" s="436">
        <f>ROUND(E2030*F2030,2)</f>
        <v>3289.52</v>
      </c>
    </row>
    <row r="2031" spans="2:7" hidden="1" outlineLevel="2">
      <c r="B2031" s="331" t="s">
        <v>2726</v>
      </c>
      <c r="C2031" s="324" t="s">
        <v>1874</v>
      </c>
      <c r="D2031" s="332"/>
      <c r="E2031" s="332"/>
      <c r="F2031" s="325"/>
      <c r="G2031" s="435">
        <f>+SUBTOTAL(9,G2032:G2136)</f>
        <v>372710.01000000007</v>
      </c>
    </row>
    <row r="2032" spans="2:7" hidden="1" outlineLevel="2">
      <c r="B2032" s="331" t="s">
        <v>2727</v>
      </c>
      <c r="C2032" s="324" t="s">
        <v>1876</v>
      </c>
      <c r="D2032" s="332"/>
      <c r="E2032" s="332"/>
      <c r="F2032" s="325"/>
      <c r="G2032" s="435">
        <f>+SUBTOTAL(9,G2033:G2060)</f>
        <v>156995.60999999999</v>
      </c>
    </row>
    <row r="2033" spans="2:7" hidden="1" outlineLevel="2">
      <c r="B2033" s="331" t="s">
        <v>2728</v>
      </c>
      <c r="C2033" s="324" t="s">
        <v>1878</v>
      </c>
      <c r="D2033" s="332"/>
      <c r="E2033" s="332"/>
      <c r="F2033" s="325"/>
      <c r="G2033" s="435">
        <f>+SUBTOTAL(9,G2034)</f>
        <v>41510.239999999998</v>
      </c>
    </row>
    <row r="2034" spans="2:7" hidden="1" outlineLevel="2">
      <c r="B2034" s="330" t="s">
        <v>2729</v>
      </c>
      <c r="C2034" s="121" t="s">
        <v>1880</v>
      </c>
      <c r="D2034" s="332" t="s">
        <v>43</v>
      </c>
      <c r="E2034" s="332">
        <v>31</v>
      </c>
      <c r="F2034" s="325">
        <v>1339.04</v>
      </c>
      <c r="G2034" s="436">
        <f>ROUND(E2034*F2034,2)</f>
        <v>41510.239999999998</v>
      </c>
    </row>
    <row r="2035" spans="2:7" hidden="1" outlineLevel="2">
      <c r="B2035" s="331" t="s">
        <v>2730</v>
      </c>
      <c r="C2035" s="324" t="s">
        <v>1882</v>
      </c>
      <c r="D2035" s="332"/>
      <c r="E2035" s="332"/>
      <c r="F2035" s="325"/>
      <c r="G2035" s="435">
        <f>+SUBTOTAL(9,G2036:G2039)</f>
        <v>30415.63</v>
      </c>
    </row>
    <row r="2036" spans="2:7" hidden="1" outlineLevel="2">
      <c r="B2036" s="330" t="s">
        <v>2731</v>
      </c>
      <c r="C2036" s="121" t="s">
        <v>2732</v>
      </c>
      <c r="D2036" s="332" t="s">
        <v>43</v>
      </c>
      <c r="E2036" s="332">
        <v>1</v>
      </c>
      <c r="F2036" s="325">
        <v>365.69</v>
      </c>
      <c r="G2036" s="436">
        <f>ROUND(E2036*F2036,2)</f>
        <v>365.69</v>
      </c>
    </row>
    <row r="2037" spans="2:7" hidden="1" outlineLevel="2">
      <c r="B2037" s="330" t="s">
        <v>2733</v>
      </c>
      <c r="C2037" s="121" t="s">
        <v>2734</v>
      </c>
      <c r="D2037" s="332" t="s">
        <v>43</v>
      </c>
      <c r="E2037" s="332">
        <v>2</v>
      </c>
      <c r="F2037" s="325">
        <v>365.69</v>
      </c>
      <c r="G2037" s="436">
        <f>ROUND(E2037*F2037,2)</f>
        <v>731.38</v>
      </c>
    </row>
    <row r="2038" spans="2:7" hidden="1" outlineLevel="2">
      <c r="B2038" s="330" t="s">
        <v>2735</v>
      </c>
      <c r="C2038" s="121" t="s">
        <v>2736</v>
      </c>
      <c r="D2038" s="332" t="s">
        <v>43</v>
      </c>
      <c r="E2038" s="332">
        <v>20</v>
      </c>
      <c r="F2038" s="325">
        <v>945.76</v>
      </c>
      <c r="G2038" s="436">
        <f>ROUND(E2038*F2038,2)</f>
        <v>18915.2</v>
      </c>
    </row>
    <row r="2039" spans="2:7" hidden="1" outlineLevel="2">
      <c r="B2039" s="330" t="s">
        <v>2737</v>
      </c>
      <c r="C2039" s="121" t="s">
        <v>2738</v>
      </c>
      <c r="D2039" s="332" t="s">
        <v>43</v>
      </c>
      <c r="E2039" s="332">
        <v>11</v>
      </c>
      <c r="F2039" s="325">
        <v>945.76</v>
      </c>
      <c r="G2039" s="436">
        <f>ROUND(E2039*F2039,2)</f>
        <v>10403.36</v>
      </c>
    </row>
    <row r="2040" spans="2:7" hidden="1" outlineLevel="2">
      <c r="B2040" s="331" t="s">
        <v>2739</v>
      </c>
      <c r="C2040" s="324" t="s">
        <v>1886</v>
      </c>
      <c r="D2040" s="332"/>
      <c r="E2040" s="332"/>
      <c r="F2040" s="325"/>
      <c r="G2040" s="435">
        <f>+SUBTOTAL(9,G2041:G2043)</f>
        <v>64065.2</v>
      </c>
    </row>
    <row r="2041" spans="2:7" hidden="1" outlineLevel="2">
      <c r="B2041" s="330" t="s">
        <v>2740</v>
      </c>
      <c r="C2041" s="121" t="s">
        <v>2741</v>
      </c>
      <c r="D2041" s="332" t="s">
        <v>64</v>
      </c>
      <c r="E2041" s="327">
        <v>1200</v>
      </c>
      <c r="F2041" s="325">
        <v>45.39</v>
      </c>
      <c r="G2041" s="436">
        <f>ROUND(E2041*F2041,2)</f>
        <v>54468</v>
      </c>
    </row>
    <row r="2042" spans="2:7" hidden="1" outlineLevel="2">
      <c r="B2042" s="330" t="s">
        <v>2742</v>
      </c>
      <c r="C2042" s="121" t="s">
        <v>2743</v>
      </c>
      <c r="D2042" s="332" t="s">
        <v>64</v>
      </c>
      <c r="E2042" s="332">
        <v>100</v>
      </c>
      <c r="F2042" s="325">
        <v>75.44</v>
      </c>
      <c r="G2042" s="436">
        <f>ROUND(E2042*F2042,2)</f>
        <v>7544</v>
      </c>
    </row>
    <row r="2043" spans="2:7" hidden="1" outlineLevel="2">
      <c r="B2043" s="330" t="s">
        <v>2744</v>
      </c>
      <c r="C2043" s="121" t="s">
        <v>1994</v>
      </c>
      <c r="D2043" s="332" t="s">
        <v>64</v>
      </c>
      <c r="E2043" s="332">
        <v>120</v>
      </c>
      <c r="F2043" s="325">
        <v>17.11</v>
      </c>
      <c r="G2043" s="436">
        <f>ROUND(E2043*F2043,2)</f>
        <v>2053.1999999999998</v>
      </c>
    </row>
    <row r="2044" spans="2:7" hidden="1" outlineLevel="2">
      <c r="B2044" s="331" t="s">
        <v>2745</v>
      </c>
      <c r="C2044" s="324" t="s">
        <v>2746</v>
      </c>
      <c r="D2044" s="332"/>
      <c r="E2044" s="332"/>
      <c r="F2044" s="325"/>
      <c r="G2044" s="435">
        <f>+SUBTOTAL(9,G2045)</f>
        <v>2568.66</v>
      </c>
    </row>
    <row r="2045" spans="2:7" hidden="1" outlineLevel="2">
      <c r="B2045" s="330" t="s">
        <v>2747</v>
      </c>
      <c r="C2045" s="121" t="s">
        <v>2360</v>
      </c>
      <c r="D2045" s="332" t="s">
        <v>43</v>
      </c>
      <c r="E2045" s="332">
        <v>62</v>
      </c>
      <c r="F2045" s="325">
        <v>41.43</v>
      </c>
      <c r="G2045" s="436">
        <f>ROUND(E2045*F2045,2)</f>
        <v>2568.66</v>
      </c>
    </row>
    <row r="2046" spans="2:7" hidden="1" outlineLevel="2">
      <c r="B2046" s="331" t="s">
        <v>2748</v>
      </c>
      <c r="C2046" s="324" t="s">
        <v>1892</v>
      </c>
      <c r="D2046" s="332"/>
      <c r="E2046" s="332"/>
      <c r="F2046" s="325"/>
      <c r="G2046" s="435">
        <f>+SUBTOTAL(9,G2047:G2051)</f>
        <v>2625.0200000000004</v>
      </c>
    </row>
    <row r="2047" spans="2:7" hidden="1" outlineLevel="2">
      <c r="B2047" s="330" t="s">
        <v>2749</v>
      </c>
      <c r="C2047" s="121" t="s">
        <v>1894</v>
      </c>
      <c r="D2047" s="332" t="s">
        <v>43</v>
      </c>
      <c r="E2047" s="332">
        <v>15</v>
      </c>
      <c r="F2047" s="325">
        <v>72.06</v>
      </c>
      <c r="G2047" s="436">
        <f>ROUND(E2047*F2047,2)</f>
        <v>1080.9000000000001</v>
      </c>
    </row>
    <row r="2048" spans="2:7" ht="30" hidden="1" outlineLevel="2">
      <c r="B2048" s="330" t="s">
        <v>2750</v>
      </c>
      <c r="C2048" s="121" t="s">
        <v>1896</v>
      </c>
      <c r="D2048" s="332" t="s">
        <v>43</v>
      </c>
      <c r="E2048" s="332">
        <v>17</v>
      </c>
      <c r="F2048" s="325">
        <v>72.06</v>
      </c>
      <c r="G2048" s="436">
        <f>ROUND(E2048*F2048,2)</f>
        <v>1225.02</v>
      </c>
    </row>
    <row r="2049" spans="2:7" hidden="1" outlineLevel="2">
      <c r="B2049" s="330" t="s">
        <v>2751</v>
      </c>
      <c r="C2049" s="121" t="s">
        <v>1898</v>
      </c>
      <c r="D2049" s="332" t="s">
        <v>43</v>
      </c>
      <c r="E2049" s="332">
        <v>11</v>
      </c>
      <c r="F2049" s="325">
        <v>22.66</v>
      </c>
      <c r="G2049" s="436">
        <f>ROUND(E2049*F2049,2)</f>
        <v>249.26</v>
      </c>
    </row>
    <row r="2050" spans="2:7" hidden="1" outlineLevel="2">
      <c r="B2050" s="330" t="s">
        <v>2752</v>
      </c>
      <c r="C2050" s="121" t="s">
        <v>1900</v>
      </c>
      <c r="D2050" s="332" t="s">
        <v>43</v>
      </c>
      <c r="E2050" s="332">
        <v>3</v>
      </c>
      <c r="F2050" s="325">
        <v>22.66</v>
      </c>
      <c r="G2050" s="436">
        <f>ROUND(E2050*F2050,2)</f>
        <v>67.98</v>
      </c>
    </row>
    <row r="2051" spans="2:7" hidden="1" outlineLevel="2">
      <c r="B2051" s="330" t="s">
        <v>2753</v>
      </c>
      <c r="C2051" s="121" t="s">
        <v>2371</v>
      </c>
      <c r="D2051" s="332" t="s">
        <v>64</v>
      </c>
      <c r="E2051" s="332">
        <v>2</v>
      </c>
      <c r="F2051" s="325">
        <v>0.93</v>
      </c>
      <c r="G2051" s="436">
        <f>ROUND(E2051*F2051,2)</f>
        <v>1.86</v>
      </c>
    </row>
    <row r="2052" spans="2:7" hidden="1" outlineLevel="2">
      <c r="B2052" s="331" t="s">
        <v>2754</v>
      </c>
      <c r="C2052" s="324" t="s">
        <v>2375</v>
      </c>
      <c r="D2052" s="332"/>
      <c r="E2052" s="332"/>
      <c r="F2052" s="325"/>
      <c r="G2052" s="435">
        <f>+SUBTOTAL(9,G2053)</f>
        <v>271.92</v>
      </c>
    </row>
    <row r="2053" spans="2:7" hidden="1" outlineLevel="2">
      <c r="B2053" s="330" t="s">
        <v>2755</v>
      </c>
      <c r="C2053" s="121" t="s">
        <v>2377</v>
      </c>
      <c r="D2053" s="332" t="s">
        <v>43</v>
      </c>
      <c r="E2053" s="332">
        <v>12</v>
      </c>
      <c r="F2053" s="325">
        <v>22.66</v>
      </c>
      <c r="G2053" s="436">
        <f>ROUND(E2053*F2053,2)</f>
        <v>271.92</v>
      </c>
    </row>
    <row r="2054" spans="2:7" hidden="1" outlineLevel="2">
      <c r="B2054" s="331" t="s">
        <v>2756</v>
      </c>
      <c r="C2054" s="324" t="s">
        <v>1865</v>
      </c>
      <c r="D2054" s="332"/>
      <c r="E2054" s="332"/>
      <c r="F2054" s="325"/>
      <c r="G2054" s="435">
        <f>+SUBTOTAL(9,G2055)</f>
        <v>6466.02</v>
      </c>
    </row>
    <row r="2055" spans="2:7" hidden="1" outlineLevel="2">
      <c r="B2055" s="330" t="s">
        <v>2757</v>
      </c>
      <c r="C2055" s="121" t="s">
        <v>1903</v>
      </c>
      <c r="D2055" s="332" t="s">
        <v>43</v>
      </c>
      <c r="E2055" s="332">
        <v>6</v>
      </c>
      <c r="F2055" s="325">
        <v>1077.67</v>
      </c>
      <c r="G2055" s="436">
        <f>ROUND(E2055*F2055,2)</f>
        <v>6466.02</v>
      </c>
    </row>
    <row r="2056" spans="2:7" hidden="1" outlineLevel="2">
      <c r="B2056" s="331" t="s">
        <v>2758</v>
      </c>
      <c r="C2056" s="324" t="s">
        <v>1905</v>
      </c>
      <c r="D2056" s="332"/>
      <c r="E2056" s="332"/>
      <c r="F2056" s="325"/>
      <c r="G2056" s="435">
        <f>+SUBTOTAL(9,G2057:G2060)</f>
        <v>9072.92</v>
      </c>
    </row>
    <row r="2057" spans="2:7" ht="30" hidden="1" outlineLevel="2">
      <c r="B2057" s="330" t="s">
        <v>2759</v>
      </c>
      <c r="C2057" s="121" t="s">
        <v>1907</v>
      </c>
      <c r="D2057" s="332" t="s">
        <v>43</v>
      </c>
      <c r="E2057" s="332">
        <v>6</v>
      </c>
      <c r="F2057" s="325">
        <v>333.27</v>
      </c>
      <c r="G2057" s="436">
        <f>ROUND(E2057*F2057,2)</f>
        <v>1999.62</v>
      </c>
    </row>
    <row r="2058" spans="2:7" ht="30" hidden="1" outlineLevel="2">
      <c r="B2058" s="330" t="s">
        <v>2760</v>
      </c>
      <c r="C2058" s="121" t="s">
        <v>1909</v>
      </c>
      <c r="D2058" s="332" t="s">
        <v>43</v>
      </c>
      <c r="E2058" s="332">
        <v>6</v>
      </c>
      <c r="F2058" s="325">
        <v>315.25</v>
      </c>
      <c r="G2058" s="436">
        <f>ROUND(E2058*F2058,2)</f>
        <v>1891.5</v>
      </c>
    </row>
    <row r="2059" spans="2:7" hidden="1" outlineLevel="2">
      <c r="B2059" s="330" t="s">
        <v>2761</v>
      </c>
      <c r="C2059" s="121" t="s">
        <v>1911</v>
      </c>
      <c r="D2059" s="332" t="s">
        <v>43</v>
      </c>
      <c r="E2059" s="332">
        <v>3</v>
      </c>
      <c r="F2059" s="325">
        <v>21.25</v>
      </c>
      <c r="G2059" s="436">
        <f>ROUND(E2059*F2059,2)</f>
        <v>63.75</v>
      </c>
    </row>
    <row r="2060" spans="2:7" ht="30" hidden="1" outlineLevel="2">
      <c r="B2060" s="330" t="s">
        <v>2762</v>
      </c>
      <c r="C2060" s="121" t="s">
        <v>2005</v>
      </c>
      <c r="D2060" s="332" t="s">
        <v>43</v>
      </c>
      <c r="E2060" s="332">
        <v>5</v>
      </c>
      <c r="F2060" s="325">
        <v>1023.61</v>
      </c>
      <c r="G2060" s="436">
        <f>ROUND(E2060*F2060,2)</f>
        <v>5118.05</v>
      </c>
    </row>
    <row r="2061" spans="2:7" hidden="1" outlineLevel="2">
      <c r="B2061" s="331" t="s">
        <v>2763</v>
      </c>
      <c r="C2061" s="324" t="s">
        <v>1915</v>
      </c>
      <c r="D2061" s="332"/>
      <c r="E2061" s="332"/>
      <c r="F2061" s="325"/>
      <c r="G2061" s="435">
        <f>+SUBTOTAL(9,G2062:G2094)</f>
        <v>146915.25999999998</v>
      </c>
    </row>
    <row r="2062" spans="2:7" hidden="1" outlineLevel="2">
      <c r="B2062" s="331" t="s">
        <v>2764</v>
      </c>
      <c r="C2062" s="324" t="s">
        <v>1917</v>
      </c>
      <c r="D2062" s="332"/>
      <c r="E2062" s="332"/>
      <c r="F2062" s="325"/>
      <c r="G2062" s="435">
        <f>+SUBTOTAL(9,G2063:G2064)</f>
        <v>24435.63</v>
      </c>
    </row>
    <row r="2063" spans="2:7" ht="30" hidden="1" outlineLevel="2">
      <c r="B2063" s="330" t="s">
        <v>2765</v>
      </c>
      <c r="C2063" s="121" t="s">
        <v>2390</v>
      </c>
      <c r="D2063" s="332" t="s">
        <v>1920</v>
      </c>
      <c r="E2063" s="332">
        <v>1</v>
      </c>
      <c r="F2063" s="325">
        <v>21057.93</v>
      </c>
      <c r="G2063" s="436">
        <f>ROUND(E2063*F2063,2)</f>
        <v>21057.93</v>
      </c>
    </row>
    <row r="2064" spans="2:7" ht="30" hidden="1" outlineLevel="2">
      <c r="B2064" s="330" t="s">
        <v>2765</v>
      </c>
      <c r="C2064" s="121" t="s">
        <v>2387</v>
      </c>
      <c r="D2064" s="332" t="s">
        <v>1872</v>
      </c>
      <c r="E2064" s="332">
        <v>1</v>
      </c>
      <c r="F2064" s="325">
        <v>3377.7</v>
      </c>
      <c r="G2064" s="436">
        <f>ROUND(E2064*F2064,2)</f>
        <v>3377.7</v>
      </c>
    </row>
    <row r="2065" spans="2:7" hidden="1" outlineLevel="2">
      <c r="B2065" s="331" t="s">
        <v>2766</v>
      </c>
      <c r="C2065" s="324" t="s">
        <v>1925</v>
      </c>
      <c r="D2065" s="332"/>
      <c r="E2065" s="332"/>
      <c r="F2065" s="325"/>
      <c r="G2065" s="435">
        <f>+SUBTOTAL(9,G2066:G2069)</f>
        <v>51229.98</v>
      </c>
    </row>
    <row r="2066" spans="2:7" hidden="1" outlineLevel="2">
      <c r="B2066" s="330" t="s">
        <v>2767</v>
      </c>
      <c r="C2066" s="121" t="s">
        <v>2392</v>
      </c>
      <c r="D2066" s="332" t="s">
        <v>43</v>
      </c>
      <c r="E2066" s="332">
        <v>31</v>
      </c>
      <c r="F2066" s="325">
        <v>428.32</v>
      </c>
      <c r="G2066" s="436">
        <f>ROUND(E2066*F2066,2)</f>
        <v>13277.92</v>
      </c>
    </row>
    <row r="2067" spans="2:7" hidden="1" outlineLevel="2">
      <c r="B2067" s="330" t="s">
        <v>2768</v>
      </c>
      <c r="C2067" s="121" t="s">
        <v>2394</v>
      </c>
      <c r="D2067" s="332" t="s">
        <v>69</v>
      </c>
      <c r="E2067" s="332">
        <v>45</v>
      </c>
      <c r="F2067" s="325">
        <v>32.86</v>
      </c>
      <c r="G2067" s="436">
        <f>ROUND(E2067*F2067,2)</f>
        <v>1478.7</v>
      </c>
    </row>
    <row r="2068" spans="2:7" hidden="1" outlineLevel="2">
      <c r="B2068" s="330" t="s">
        <v>2769</v>
      </c>
      <c r="C2068" s="121" t="s">
        <v>1931</v>
      </c>
      <c r="D2068" s="332" t="s">
        <v>43</v>
      </c>
      <c r="E2068" s="332">
        <v>31</v>
      </c>
      <c r="F2068" s="325">
        <v>815.6</v>
      </c>
      <c r="G2068" s="436">
        <f>ROUND(E2068*F2068,2)</f>
        <v>25283.599999999999</v>
      </c>
    </row>
    <row r="2069" spans="2:7" ht="30" hidden="1" outlineLevel="2">
      <c r="B2069" s="330" t="s">
        <v>2770</v>
      </c>
      <c r="C2069" s="121" t="s">
        <v>2397</v>
      </c>
      <c r="D2069" s="332" t="s">
        <v>43</v>
      </c>
      <c r="E2069" s="332">
        <v>31</v>
      </c>
      <c r="F2069" s="325">
        <v>360.96</v>
      </c>
      <c r="G2069" s="436">
        <f>ROUND(E2069*F2069,2)</f>
        <v>11189.76</v>
      </c>
    </row>
    <row r="2070" spans="2:7" hidden="1" outlineLevel="2">
      <c r="B2070" s="331" t="s">
        <v>2771</v>
      </c>
      <c r="C2070" s="324" t="s">
        <v>1935</v>
      </c>
      <c r="D2070" s="332"/>
      <c r="E2070" s="332"/>
      <c r="F2070" s="325"/>
      <c r="G2070" s="435">
        <f>+SUBTOTAL(9,G2071:G2073)</f>
        <v>13196.039999999999</v>
      </c>
    </row>
    <row r="2071" spans="2:7" hidden="1" outlineLevel="2">
      <c r="B2071" s="330" t="s">
        <v>2772</v>
      </c>
      <c r="C2071" s="121" t="s">
        <v>1937</v>
      </c>
      <c r="D2071" s="332" t="s">
        <v>69</v>
      </c>
      <c r="E2071" s="332">
        <v>12</v>
      </c>
      <c r="F2071" s="325">
        <v>85.59</v>
      </c>
      <c r="G2071" s="436">
        <f>ROUND(E2071*F2071,2)</f>
        <v>1027.08</v>
      </c>
    </row>
    <row r="2072" spans="2:7" hidden="1" outlineLevel="2">
      <c r="B2072" s="330" t="s">
        <v>2773</v>
      </c>
      <c r="C2072" s="121" t="s">
        <v>1939</v>
      </c>
      <c r="D2072" s="332" t="s">
        <v>43</v>
      </c>
      <c r="E2072" s="332">
        <v>12</v>
      </c>
      <c r="F2072" s="325">
        <v>940.49</v>
      </c>
      <c r="G2072" s="436">
        <f>ROUND(E2072*F2072,2)</f>
        <v>11285.88</v>
      </c>
    </row>
    <row r="2073" spans="2:7" hidden="1" outlineLevel="2">
      <c r="B2073" s="330" t="s">
        <v>2774</v>
      </c>
      <c r="C2073" s="121" t="s">
        <v>2402</v>
      </c>
      <c r="D2073" s="332" t="s">
        <v>69</v>
      </c>
      <c r="E2073" s="332">
        <v>12</v>
      </c>
      <c r="F2073" s="325">
        <v>73.59</v>
      </c>
      <c r="G2073" s="436">
        <f>ROUND(E2073*F2073,2)</f>
        <v>883.08</v>
      </c>
    </row>
    <row r="2074" spans="2:7" hidden="1" outlineLevel="2">
      <c r="B2074" s="331" t="s">
        <v>2775</v>
      </c>
      <c r="C2074" s="324" t="s">
        <v>1943</v>
      </c>
      <c r="D2074" s="332"/>
      <c r="E2074" s="332"/>
      <c r="F2074" s="325"/>
      <c r="G2074" s="435">
        <f>+SUBTOTAL(9,G2075:G2077)</f>
        <v>3401.8799999999997</v>
      </c>
    </row>
    <row r="2075" spans="2:7" hidden="1" outlineLevel="2">
      <c r="B2075" s="330" t="s">
        <v>2776</v>
      </c>
      <c r="C2075" s="121" t="s">
        <v>2043</v>
      </c>
      <c r="D2075" s="332" t="s">
        <v>69</v>
      </c>
      <c r="E2075" s="332">
        <v>2.96</v>
      </c>
      <c r="F2075" s="325">
        <v>193.81</v>
      </c>
      <c r="G2075" s="436">
        <f>ROUND(E2075*F2075,2)</f>
        <v>573.67999999999995</v>
      </c>
    </row>
    <row r="2076" spans="2:7" hidden="1" outlineLevel="2">
      <c r="B2076" s="330" t="s">
        <v>2777</v>
      </c>
      <c r="C2076" s="121" t="s">
        <v>1946</v>
      </c>
      <c r="D2076" s="332" t="s">
        <v>43</v>
      </c>
      <c r="E2076" s="332">
        <v>4</v>
      </c>
      <c r="F2076" s="325">
        <v>503.52</v>
      </c>
      <c r="G2076" s="436">
        <f>ROUND(E2076*F2076,2)</f>
        <v>2014.08</v>
      </c>
    </row>
    <row r="2077" spans="2:7" hidden="1" outlineLevel="2">
      <c r="B2077" s="330" t="s">
        <v>2778</v>
      </c>
      <c r="C2077" s="121" t="s">
        <v>2046</v>
      </c>
      <c r="D2077" s="332" t="s">
        <v>69</v>
      </c>
      <c r="E2077" s="332">
        <v>2.96</v>
      </c>
      <c r="F2077" s="325">
        <v>275.04000000000002</v>
      </c>
      <c r="G2077" s="436">
        <f>ROUND(E2077*F2077,2)</f>
        <v>814.12</v>
      </c>
    </row>
    <row r="2078" spans="2:7" hidden="1" outlineLevel="2">
      <c r="B2078" s="331" t="s">
        <v>2779</v>
      </c>
      <c r="C2078" s="324" t="s">
        <v>1950</v>
      </c>
      <c r="D2078" s="332"/>
      <c r="E2078" s="332"/>
      <c r="F2078" s="325"/>
      <c r="G2078" s="435">
        <f>+SUBTOTAL(9,G2079:G2080)</f>
        <v>5791.42</v>
      </c>
    </row>
    <row r="2079" spans="2:7" hidden="1" outlineLevel="2">
      <c r="B2079" s="330" t="s">
        <v>2780</v>
      </c>
      <c r="C2079" s="121" t="s">
        <v>2781</v>
      </c>
      <c r="D2079" s="332" t="s">
        <v>43</v>
      </c>
      <c r="E2079" s="332">
        <v>20</v>
      </c>
      <c r="F2079" s="325">
        <v>186.82</v>
      </c>
      <c r="G2079" s="436">
        <f>ROUND(E2079*F2079,2)</f>
        <v>3736.4</v>
      </c>
    </row>
    <row r="2080" spans="2:7" hidden="1" outlineLevel="2">
      <c r="B2080" s="330" t="s">
        <v>2782</v>
      </c>
      <c r="C2080" s="121" t="s">
        <v>2783</v>
      </c>
      <c r="D2080" s="332" t="s">
        <v>43</v>
      </c>
      <c r="E2080" s="332">
        <v>11</v>
      </c>
      <c r="F2080" s="325">
        <v>186.82</v>
      </c>
      <c r="G2080" s="436">
        <f>ROUND(E2080*F2080,2)</f>
        <v>2055.02</v>
      </c>
    </row>
    <row r="2081" spans="2:7" hidden="1" outlineLevel="2">
      <c r="B2081" s="331" t="s">
        <v>2784</v>
      </c>
      <c r="C2081" s="324" t="s">
        <v>1956</v>
      </c>
      <c r="D2081" s="332"/>
      <c r="E2081" s="332"/>
      <c r="F2081" s="325"/>
      <c r="G2081" s="435">
        <f>+SUBTOTAL(9,G2082:G2085)</f>
        <v>40301.72</v>
      </c>
    </row>
    <row r="2082" spans="2:7" ht="30" hidden="1" outlineLevel="2">
      <c r="B2082" s="330" t="s">
        <v>2785</v>
      </c>
      <c r="C2082" s="121" t="s">
        <v>2417</v>
      </c>
      <c r="D2082" s="332" t="s">
        <v>43</v>
      </c>
      <c r="E2082" s="332">
        <v>6</v>
      </c>
      <c r="F2082" s="325">
        <v>610.13</v>
      </c>
      <c r="G2082" s="436">
        <f>ROUND(E2082*F2082,2)</f>
        <v>3660.78</v>
      </c>
    </row>
    <row r="2083" spans="2:7" ht="30" hidden="1" outlineLevel="2">
      <c r="B2083" s="330" t="s">
        <v>2786</v>
      </c>
      <c r="C2083" s="121" t="s">
        <v>1952</v>
      </c>
      <c r="D2083" s="332" t="s">
        <v>43</v>
      </c>
      <c r="E2083" s="332">
        <v>6</v>
      </c>
      <c r="F2083" s="325">
        <v>206.12</v>
      </c>
      <c r="G2083" s="436">
        <f>ROUND(E2083*F2083,2)</f>
        <v>1236.72</v>
      </c>
    </row>
    <row r="2084" spans="2:7" ht="30" hidden="1" outlineLevel="2">
      <c r="B2084" s="330" t="s">
        <v>2787</v>
      </c>
      <c r="C2084" s="121" t="s">
        <v>2788</v>
      </c>
      <c r="D2084" s="332" t="s">
        <v>43</v>
      </c>
      <c r="E2084" s="332">
        <v>6</v>
      </c>
      <c r="F2084" s="325">
        <v>467.05</v>
      </c>
      <c r="G2084" s="436">
        <f>ROUND(E2084*F2084,2)</f>
        <v>2802.3</v>
      </c>
    </row>
    <row r="2085" spans="2:7" ht="30" hidden="1" outlineLevel="2">
      <c r="B2085" s="330" t="s">
        <v>2789</v>
      </c>
      <c r="C2085" s="121" t="s">
        <v>2790</v>
      </c>
      <c r="D2085" s="332" t="s">
        <v>1920</v>
      </c>
      <c r="E2085" s="332">
        <v>2</v>
      </c>
      <c r="F2085" s="325">
        <v>16300.96</v>
      </c>
      <c r="G2085" s="436">
        <f>ROUND(E2085*F2085,2)</f>
        <v>32601.919999999998</v>
      </c>
    </row>
    <row r="2086" spans="2:7" hidden="1" outlineLevel="2">
      <c r="B2086" s="331" t="s">
        <v>2791</v>
      </c>
      <c r="C2086" s="324" t="s">
        <v>1964</v>
      </c>
      <c r="D2086" s="332"/>
      <c r="E2086" s="332"/>
      <c r="F2086" s="325"/>
      <c r="G2086" s="435">
        <f>+SUBTOTAL(9,G2087:G2088)</f>
        <v>3722.18</v>
      </c>
    </row>
    <row r="2087" spans="2:7" ht="45" hidden="1" outlineLevel="2">
      <c r="B2087" s="330" t="s">
        <v>2792</v>
      </c>
      <c r="C2087" s="121" t="s">
        <v>2424</v>
      </c>
      <c r="D2087" s="332" t="s">
        <v>1920</v>
      </c>
      <c r="E2087" s="332">
        <v>1</v>
      </c>
      <c r="F2087" s="325">
        <v>1813.82</v>
      </c>
      <c r="G2087" s="436">
        <f>ROUND(E2087*F2087,2)</f>
        <v>1813.82</v>
      </c>
    </row>
    <row r="2088" spans="2:7" ht="45" hidden="1" outlineLevel="2">
      <c r="B2088" s="330" t="s">
        <v>2793</v>
      </c>
      <c r="C2088" s="121" t="s">
        <v>1968</v>
      </c>
      <c r="D2088" s="332" t="s">
        <v>43</v>
      </c>
      <c r="E2088" s="332">
        <v>31</v>
      </c>
      <c r="F2088" s="325">
        <v>61.56</v>
      </c>
      <c r="G2088" s="436">
        <f>ROUND(E2088*F2088,2)</f>
        <v>1908.36</v>
      </c>
    </row>
    <row r="2089" spans="2:7" hidden="1" outlineLevel="2">
      <c r="B2089" s="331" t="s">
        <v>2794</v>
      </c>
      <c r="C2089" s="324" t="s">
        <v>1869</v>
      </c>
      <c r="D2089" s="332"/>
      <c r="E2089" s="332"/>
      <c r="F2089" s="325"/>
      <c r="G2089" s="435">
        <f>+SUBTOTAL(9,G2090:G2092)</f>
        <v>2050.4299999999998</v>
      </c>
    </row>
    <row r="2090" spans="2:7" hidden="1" outlineLevel="2">
      <c r="B2090" s="330" t="s">
        <v>2795</v>
      </c>
      <c r="C2090" s="121" t="s">
        <v>1977</v>
      </c>
      <c r="D2090" s="332" t="s">
        <v>1920</v>
      </c>
      <c r="E2090" s="332">
        <v>3</v>
      </c>
      <c r="F2090" s="325">
        <v>517.95000000000005</v>
      </c>
      <c r="G2090" s="436">
        <f>ROUND(E2090*F2090,2)</f>
        <v>1553.85</v>
      </c>
    </row>
    <row r="2091" spans="2:7" ht="30" hidden="1" outlineLevel="2">
      <c r="B2091" s="330" t="s">
        <v>2796</v>
      </c>
      <c r="C2091" s="121" t="s">
        <v>1979</v>
      </c>
      <c r="D2091" s="332" t="s">
        <v>1920</v>
      </c>
      <c r="E2091" s="332">
        <v>1</v>
      </c>
      <c r="F2091" s="325">
        <v>352.47</v>
      </c>
      <c r="G2091" s="436">
        <f>ROUND(E2091*F2091,2)</f>
        <v>352.47</v>
      </c>
    </row>
    <row r="2092" spans="2:7" hidden="1" outlineLevel="2">
      <c r="B2092" s="330" t="s">
        <v>2797</v>
      </c>
      <c r="C2092" s="121" t="s">
        <v>2798</v>
      </c>
      <c r="D2092" s="332" t="s">
        <v>43</v>
      </c>
      <c r="E2092" s="332">
        <v>1</v>
      </c>
      <c r="F2092" s="325">
        <v>144.11000000000001</v>
      </c>
      <c r="G2092" s="436">
        <f>ROUND(E2092*F2092,2)</f>
        <v>144.11000000000001</v>
      </c>
    </row>
    <row r="2093" spans="2:7" hidden="1" outlineLevel="2">
      <c r="B2093" s="331" t="s">
        <v>2799</v>
      </c>
      <c r="C2093" s="324" t="s">
        <v>1981</v>
      </c>
      <c r="D2093" s="332"/>
      <c r="E2093" s="332"/>
      <c r="F2093" s="325"/>
      <c r="G2093" s="435">
        <f>+SUBTOTAL(9,G2094)</f>
        <v>2785.98</v>
      </c>
    </row>
    <row r="2094" spans="2:7" hidden="1" outlineLevel="2">
      <c r="B2094" s="330" t="s">
        <v>2800</v>
      </c>
      <c r="C2094" s="121" t="s">
        <v>1983</v>
      </c>
      <c r="D2094" s="332" t="s">
        <v>1923</v>
      </c>
      <c r="E2094" s="332">
        <v>1</v>
      </c>
      <c r="F2094" s="325">
        <v>2785.98</v>
      </c>
      <c r="G2094" s="436">
        <f>ROUND(E2094*F2094,2)</f>
        <v>2785.98</v>
      </c>
    </row>
    <row r="2095" spans="2:7" hidden="1" outlineLevel="2">
      <c r="B2095" s="331" t="s">
        <v>2801</v>
      </c>
      <c r="C2095" s="324" t="s">
        <v>1985</v>
      </c>
      <c r="D2095" s="332"/>
      <c r="E2095" s="332"/>
      <c r="F2095" s="325"/>
      <c r="G2095" s="435">
        <f>+SUBTOTAL(9,G2096:G2135)</f>
        <v>68799.139999999985</v>
      </c>
    </row>
    <row r="2096" spans="2:7" hidden="1" outlineLevel="2">
      <c r="B2096" s="331" t="s">
        <v>2802</v>
      </c>
      <c r="C2096" s="324" t="s">
        <v>1987</v>
      </c>
      <c r="D2096" s="332"/>
      <c r="E2096" s="332"/>
      <c r="F2096" s="325"/>
      <c r="G2096" s="435">
        <f>+SUBTOTAL(9,G2097:G2101)</f>
        <v>13560.07</v>
      </c>
    </row>
    <row r="2097" spans="2:7" hidden="1" outlineLevel="2">
      <c r="B2097" s="331" t="s">
        <v>2803</v>
      </c>
      <c r="C2097" s="324" t="s">
        <v>1886</v>
      </c>
      <c r="D2097" s="332"/>
      <c r="E2097" s="332"/>
      <c r="F2097" s="325"/>
      <c r="G2097" s="435">
        <f>+SUBTOTAL(9,G2098:G2101)</f>
        <v>13560.07</v>
      </c>
    </row>
    <row r="2098" spans="2:7" hidden="1" outlineLevel="2">
      <c r="B2098" s="330" t="s">
        <v>2804</v>
      </c>
      <c r="C2098" s="121" t="s">
        <v>2805</v>
      </c>
      <c r="D2098" s="332" t="s">
        <v>64</v>
      </c>
      <c r="E2098" s="332">
        <v>27</v>
      </c>
      <c r="F2098" s="325">
        <v>122.95</v>
      </c>
      <c r="G2098" s="436">
        <f>ROUND(E2098*F2098,2)</f>
        <v>3319.65</v>
      </c>
    </row>
    <row r="2099" spans="2:7" hidden="1" outlineLevel="2">
      <c r="B2099" s="330" t="s">
        <v>2806</v>
      </c>
      <c r="C2099" s="121" t="s">
        <v>2347</v>
      </c>
      <c r="D2099" s="332" t="s">
        <v>64</v>
      </c>
      <c r="E2099" s="332">
        <v>30</v>
      </c>
      <c r="F2099" s="325">
        <v>75.44</v>
      </c>
      <c r="G2099" s="436">
        <f>ROUND(E2099*F2099,2)</f>
        <v>2263.1999999999998</v>
      </c>
    </row>
    <row r="2100" spans="2:7" hidden="1" outlineLevel="2">
      <c r="B2100" s="330" t="s">
        <v>2807</v>
      </c>
      <c r="C2100" s="121" t="s">
        <v>1992</v>
      </c>
      <c r="D2100" s="332" t="s">
        <v>64</v>
      </c>
      <c r="E2100" s="332">
        <v>56.7</v>
      </c>
      <c r="F2100" s="325">
        <v>104.48</v>
      </c>
      <c r="G2100" s="436">
        <f>ROUND(E2100*F2100,2)</f>
        <v>5924.02</v>
      </c>
    </row>
    <row r="2101" spans="2:7" hidden="1" outlineLevel="2">
      <c r="B2101" s="330" t="s">
        <v>2808</v>
      </c>
      <c r="C2101" s="121" t="s">
        <v>1994</v>
      </c>
      <c r="D2101" s="332" t="s">
        <v>64</v>
      </c>
      <c r="E2101" s="332">
        <v>120</v>
      </c>
      <c r="F2101" s="325">
        <v>17.11</v>
      </c>
      <c r="G2101" s="436">
        <f>ROUND(E2101*F2101,2)</f>
        <v>2053.1999999999998</v>
      </c>
    </row>
    <row r="2102" spans="2:7" hidden="1" outlineLevel="2">
      <c r="B2102" s="331" t="s">
        <v>2809</v>
      </c>
      <c r="C2102" s="324" t="s">
        <v>1996</v>
      </c>
      <c r="D2102" s="332"/>
      <c r="E2102" s="332"/>
      <c r="F2102" s="325"/>
      <c r="G2102" s="435">
        <f>+SUBTOTAL(9,G2103:G2120)</f>
        <v>39938.229999999996</v>
      </c>
    </row>
    <row r="2103" spans="2:7" hidden="1" outlineLevel="2">
      <c r="B2103" s="331" t="s">
        <v>2810</v>
      </c>
      <c r="C2103" s="324" t="s">
        <v>1960</v>
      </c>
      <c r="D2103" s="332"/>
      <c r="E2103" s="332"/>
      <c r="F2103" s="325"/>
      <c r="G2103" s="435">
        <f>+SUBTOTAL(9,G2104:G2106)</f>
        <v>4069.45</v>
      </c>
    </row>
    <row r="2104" spans="2:7" hidden="1" outlineLevel="2">
      <c r="B2104" s="330" t="s">
        <v>2811</v>
      </c>
      <c r="C2104" s="121" t="s">
        <v>1998</v>
      </c>
      <c r="D2104" s="332" t="s">
        <v>43</v>
      </c>
      <c r="E2104" s="332">
        <v>3</v>
      </c>
      <c r="F2104" s="325">
        <v>365.69</v>
      </c>
      <c r="G2104" s="436">
        <f>ROUND(E2104*F2104,2)</f>
        <v>1097.07</v>
      </c>
    </row>
    <row r="2105" spans="2:7" hidden="1" outlineLevel="2">
      <c r="B2105" s="330" t="s">
        <v>2812</v>
      </c>
      <c r="C2105" s="121" t="s">
        <v>2000</v>
      </c>
      <c r="D2105" s="332" t="s">
        <v>43</v>
      </c>
      <c r="E2105" s="332">
        <v>2</v>
      </c>
      <c r="F2105" s="325">
        <v>810.65</v>
      </c>
      <c r="G2105" s="436">
        <f>ROUND(E2105*F2105,2)</f>
        <v>1621.3</v>
      </c>
    </row>
    <row r="2106" spans="2:7" hidden="1" outlineLevel="2">
      <c r="B2106" s="330" t="s">
        <v>2813</v>
      </c>
      <c r="C2106" s="121" t="s">
        <v>2002</v>
      </c>
      <c r="D2106" s="332" t="s">
        <v>43</v>
      </c>
      <c r="E2106" s="332">
        <v>2</v>
      </c>
      <c r="F2106" s="325">
        <v>675.54</v>
      </c>
      <c r="G2106" s="436">
        <f>ROUND(E2106*F2106,2)</f>
        <v>1351.08</v>
      </c>
    </row>
    <row r="2107" spans="2:7" hidden="1" outlineLevel="2">
      <c r="B2107" s="331" t="s">
        <v>2814</v>
      </c>
      <c r="C2107" s="324" t="s">
        <v>1905</v>
      </c>
      <c r="D2107" s="332"/>
      <c r="E2107" s="332"/>
      <c r="F2107" s="325"/>
      <c r="G2107" s="435">
        <f>+SUBTOTAL(9,G2108:G2113)</f>
        <v>10649.16</v>
      </c>
    </row>
    <row r="2108" spans="2:7" ht="30" hidden="1" outlineLevel="2">
      <c r="B2108" s="330" t="s">
        <v>2815</v>
      </c>
      <c r="C2108" s="121" t="s">
        <v>2005</v>
      </c>
      <c r="D2108" s="332" t="s">
        <v>43</v>
      </c>
      <c r="E2108" s="332">
        <v>6</v>
      </c>
      <c r="F2108" s="325">
        <v>1023.61</v>
      </c>
      <c r="G2108" s="436">
        <f t="shared" ref="G2108:G2113" si="54">ROUND(E2108*F2108,2)</f>
        <v>6141.66</v>
      </c>
    </row>
    <row r="2109" spans="2:7" ht="30" hidden="1" outlineLevel="2">
      <c r="B2109" s="330" t="s">
        <v>2816</v>
      </c>
      <c r="C2109" s="121" t="s">
        <v>2007</v>
      </c>
      <c r="D2109" s="332" t="s">
        <v>64</v>
      </c>
      <c r="E2109" s="332">
        <v>6</v>
      </c>
      <c r="F2109" s="325">
        <v>58.82</v>
      </c>
      <c r="G2109" s="436">
        <f t="shared" si="54"/>
        <v>352.92</v>
      </c>
    </row>
    <row r="2110" spans="2:7" ht="30" hidden="1" outlineLevel="2">
      <c r="B2110" s="330" t="s">
        <v>2817</v>
      </c>
      <c r="C2110" s="121" t="s">
        <v>2009</v>
      </c>
      <c r="D2110" s="332" t="s">
        <v>43</v>
      </c>
      <c r="E2110" s="332">
        <v>6</v>
      </c>
      <c r="F2110" s="325">
        <v>333.27</v>
      </c>
      <c r="G2110" s="436">
        <f t="shared" si="54"/>
        <v>1999.62</v>
      </c>
    </row>
    <row r="2111" spans="2:7" ht="30" hidden="1" outlineLevel="2">
      <c r="B2111" s="330" t="s">
        <v>2818</v>
      </c>
      <c r="C2111" s="121" t="s">
        <v>2450</v>
      </c>
      <c r="D2111" s="332" t="s">
        <v>43</v>
      </c>
      <c r="E2111" s="332">
        <v>6</v>
      </c>
      <c r="F2111" s="325">
        <v>315.25</v>
      </c>
      <c r="G2111" s="436">
        <f t="shared" si="54"/>
        <v>1891.5</v>
      </c>
    </row>
    <row r="2112" spans="2:7" hidden="1" outlineLevel="2">
      <c r="B2112" s="330" t="s">
        <v>2819</v>
      </c>
      <c r="C2112" s="121" t="s">
        <v>1911</v>
      </c>
      <c r="D2112" s="332" t="s">
        <v>43</v>
      </c>
      <c r="E2112" s="332">
        <v>6</v>
      </c>
      <c r="F2112" s="325">
        <v>21.25</v>
      </c>
      <c r="G2112" s="436">
        <f t="shared" si="54"/>
        <v>127.5</v>
      </c>
    </row>
    <row r="2113" spans="2:7" hidden="1" outlineLevel="2">
      <c r="B2113" s="330" t="s">
        <v>2820</v>
      </c>
      <c r="C2113" s="121" t="s">
        <v>2015</v>
      </c>
      <c r="D2113" s="332" t="s">
        <v>43</v>
      </c>
      <c r="E2113" s="332">
        <v>6</v>
      </c>
      <c r="F2113" s="325">
        <v>22.66</v>
      </c>
      <c r="G2113" s="436">
        <f t="shared" si="54"/>
        <v>135.96</v>
      </c>
    </row>
    <row r="2114" spans="2:7" hidden="1" outlineLevel="2">
      <c r="B2114" s="331" t="s">
        <v>2821</v>
      </c>
      <c r="C2114" s="324" t="s">
        <v>2017</v>
      </c>
      <c r="D2114" s="332"/>
      <c r="E2114" s="332"/>
      <c r="F2114" s="325"/>
      <c r="G2114" s="435">
        <f>+SUBTOTAL(9,G2115:G2116)</f>
        <v>15601.08</v>
      </c>
    </row>
    <row r="2115" spans="2:7" ht="45" hidden="1" outlineLevel="2">
      <c r="B2115" s="330" t="s">
        <v>2822</v>
      </c>
      <c r="C2115" s="121" t="s">
        <v>2823</v>
      </c>
      <c r="D2115" s="332" t="s">
        <v>43</v>
      </c>
      <c r="E2115" s="332">
        <v>1</v>
      </c>
      <c r="F2115" s="325">
        <v>7400.51</v>
      </c>
      <c r="G2115" s="436">
        <f>ROUND(E2115*F2115,2)</f>
        <v>7400.51</v>
      </c>
    </row>
    <row r="2116" spans="2:7" ht="30" hidden="1" outlineLevel="2">
      <c r="B2116" s="330" t="s">
        <v>2824</v>
      </c>
      <c r="C2116" s="121" t="s">
        <v>2825</v>
      </c>
      <c r="D2116" s="332" t="s">
        <v>43</v>
      </c>
      <c r="E2116" s="332">
        <v>1</v>
      </c>
      <c r="F2116" s="325">
        <v>8200.57</v>
      </c>
      <c r="G2116" s="436">
        <f>ROUND(E2116*F2116,2)</f>
        <v>8200.57</v>
      </c>
    </row>
    <row r="2117" spans="2:7" hidden="1" outlineLevel="2">
      <c r="B2117" s="331" t="s">
        <v>2826</v>
      </c>
      <c r="C2117" s="324" t="s">
        <v>2021</v>
      </c>
      <c r="D2117" s="332"/>
      <c r="E2117" s="332"/>
      <c r="F2117" s="325"/>
      <c r="G2117" s="435">
        <f>+SUBTOTAL(9,G2118)</f>
        <v>3152.52</v>
      </c>
    </row>
    <row r="2118" spans="2:7" ht="45" hidden="1" outlineLevel="2">
      <c r="B2118" s="330" t="s">
        <v>2827</v>
      </c>
      <c r="C2118" s="121" t="s">
        <v>2023</v>
      </c>
      <c r="D2118" s="332" t="s">
        <v>43</v>
      </c>
      <c r="E2118" s="332">
        <v>1</v>
      </c>
      <c r="F2118" s="325">
        <v>3152.52</v>
      </c>
      <c r="G2118" s="436">
        <f>ROUND(E2118*F2118,2)</f>
        <v>3152.52</v>
      </c>
    </row>
    <row r="2119" spans="2:7" hidden="1" outlineLevel="2">
      <c r="B2119" s="331" t="s">
        <v>2828</v>
      </c>
      <c r="C2119" s="324" t="s">
        <v>1865</v>
      </c>
      <c r="D2119" s="332"/>
      <c r="E2119" s="332"/>
      <c r="F2119" s="325"/>
      <c r="G2119" s="435">
        <f>+SUBTOTAL(9,G2120)</f>
        <v>6466.02</v>
      </c>
    </row>
    <row r="2120" spans="2:7" hidden="1" outlineLevel="2">
      <c r="B2120" s="330" t="s">
        <v>2829</v>
      </c>
      <c r="C2120" s="121" t="s">
        <v>1903</v>
      </c>
      <c r="D2120" s="332" t="s">
        <v>43</v>
      </c>
      <c r="E2120" s="332">
        <v>6</v>
      </c>
      <c r="F2120" s="325">
        <v>1077.67</v>
      </c>
      <c r="G2120" s="436">
        <f>ROUND(E2120*F2120,2)</f>
        <v>6466.02</v>
      </c>
    </row>
    <row r="2121" spans="2:7" hidden="1" outlineLevel="2">
      <c r="B2121" s="331" t="s">
        <v>2830</v>
      </c>
      <c r="C2121" s="324" t="s">
        <v>2461</v>
      </c>
      <c r="D2121" s="332"/>
      <c r="E2121" s="332"/>
      <c r="F2121" s="325"/>
      <c r="G2121" s="435">
        <f>+SUBTOTAL(9,G2122:G2135)</f>
        <v>15300.84</v>
      </c>
    </row>
    <row r="2122" spans="2:7" hidden="1" outlineLevel="2">
      <c r="B2122" s="331" t="s">
        <v>2831</v>
      </c>
      <c r="C2122" s="324" t="s">
        <v>1950</v>
      </c>
      <c r="D2122" s="332"/>
      <c r="E2122" s="332"/>
      <c r="F2122" s="325"/>
      <c r="G2122" s="435">
        <f>+SUBTOTAL(9,G2123:G2125)</f>
        <v>1120.92</v>
      </c>
    </row>
    <row r="2123" spans="2:7" hidden="1" outlineLevel="2">
      <c r="B2123" s="330" t="s">
        <v>2832</v>
      </c>
      <c r="C2123" s="121" t="s">
        <v>2464</v>
      </c>
      <c r="D2123" s="332" t="s">
        <v>43</v>
      </c>
      <c r="E2123" s="332">
        <v>2</v>
      </c>
      <c r="F2123" s="325">
        <v>186.82</v>
      </c>
      <c r="G2123" s="436">
        <f>ROUND(E2123*F2123,2)</f>
        <v>373.64</v>
      </c>
    </row>
    <row r="2124" spans="2:7" hidden="1" outlineLevel="2">
      <c r="B2124" s="330" t="s">
        <v>2833</v>
      </c>
      <c r="C2124" s="121" t="s">
        <v>2466</v>
      </c>
      <c r="D2124" s="332" t="s">
        <v>43</v>
      </c>
      <c r="E2124" s="332">
        <v>2</v>
      </c>
      <c r="F2124" s="325">
        <v>186.82</v>
      </c>
      <c r="G2124" s="436">
        <f>ROUND(E2124*F2124,2)</f>
        <v>373.64</v>
      </c>
    </row>
    <row r="2125" spans="2:7" hidden="1" outlineLevel="2">
      <c r="B2125" s="330" t="s">
        <v>2834</v>
      </c>
      <c r="C2125" s="121" t="s">
        <v>2468</v>
      </c>
      <c r="D2125" s="332" t="s">
        <v>43</v>
      </c>
      <c r="E2125" s="332">
        <v>2</v>
      </c>
      <c r="F2125" s="325">
        <v>186.82</v>
      </c>
      <c r="G2125" s="436">
        <f>ROUND(E2125*F2125,2)</f>
        <v>373.64</v>
      </c>
    </row>
    <row r="2126" spans="2:7" hidden="1" outlineLevel="2">
      <c r="B2126" s="331" t="s">
        <v>2835</v>
      </c>
      <c r="C2126" s="324" t="s">
        <v>2030</v>
      </c>
      <c r="D2126" s="332"/>
      <c r="E2126" s="332"/>
      <c r="F2126" s="325"/>
      <c r="G2126" s="435">
        <f>+SUBTOTAL(9,G2127:G2129)</f>
        <v>3298.98</v>
      </c>
    </row>
    <row r="2127" spans="2:7" ht="30" hidden="1" outlineLevel="2">
      <c r="B2127" s="330" t="s">
        <v>2836</v>
      </c>
      <c r="C2127" s="121" t="s">
        <v>2837</v>
      </c>
      <c r="D2127" s="332" t="s">
        <v>43</v>
      </c>
      <c r="E2127" s="332">
        <v>6</v>
      </c>
      <c r="F2127" s="325">
        <v>99.95</v>
      </c>
      <c r="G2127" s="436">
        <f>ROUND(E2127*F2127,2)</f>
        <v>599.70000000000005</v>
      </c>
    </row>
    <row r="2128" spans="2:7" ht="30" hidden="1" outlineLevel="2">
      <c r="B2128" s="330" t="s">
        <v>2838</v>
      </c>
      <c r="C2128" s="121" t="s">
        <v>2032</v>
      </c>
      <c r="D2128" s="332" t="s">
        <v>43</v>
      </c>
      <c r="E2128" s="332">
        <v>6</v>
      </c>
      <c r="F2128" s="325">
        <v>99.15</v>
      </c>
      <c r="G2128" s="436">
        <f>ROUND(E2128*F2128,2)</f>
        <v>594.9</v>
      </c>
    </row>
    <row r="2129" spans="2:7" ht="30" hidden="1" outlineLevel="2">
      <c r="B2129" s="330" t="s">
        <v>2839</v>
      </c>
      <c r="C2129" s="121" t="s">
        <v>2034</v>
      </c>
      <c r="D2129" s="332" t="s">
        <v>43</v>
      </c>
      <c r="E2129" s="332">
        <v>6</v>
      </c>
      <c r="F2129" s="325">
        <v>350.73</v>
      </c>
      <c r="G2129" s="436">
        <f>ROUND(E2129*F2129,2)</f>
        <v>2104.38</v>
      </c>
    </row>
    <row r="2130" spans="2:7" hidden="1" outlineLevel="2">
      <c r="B2130" s="331" t="s">
        <v>2840</v>
      </c>
      <c r="C2130" s="324" t="s">
        <v>1943</v>
      </c>
      <c r="D2130" s="332"/>
      <c r="E2130" s="332"/>
      <c r="F2130" s="325"/>
      <c r="G2130" s="435">
        <f>+SUBTOTAL(9,G2131:G2133)</f>
        <v>5095.0600000000004</v>
      </c>
    </row>
    <row r="2131" spans="2:7" hidden="1" outlineLevel="2">
      <c r="B2131" s="330" t="s">
        <v>2841</v>
      </c>
      <c r="C2131" s="121" t="s">
        <v>2043</v>
      </c>
      <c r="D2131" s="332" t="s">
        <v>69</v>
      </c>
      <c r="E2131" s="332">
        <v>4.4000000000000004</v>
      </c>
      <c r="F2131" s="325">
        <v>193.81</v>
      </c>
      <c r="G2131" s="436">
        <f>ROUND(E2131*F2131,2)</f>
        <v>852.76</v>
      </c>
    </row>
    <row r="2132" spans="2:7" hidden="1" outlineLevel="2">
      <c r="B2132" s="330" t="s">
        <v>2842</v>
      </c>
      <c r="C2132" s="121" t="s">
        <v>1946</v>
      </c>
      <c r="D2132" s="332" t="s">
        <v>43</v>
      </c>
      <c r="E2132" s="332">
        <v>6</v>
      </c>
      <c r="F2132" s="325">
        <v>503.52</v>
      </c>
      <c r="G2132" s="436">
        <f>ROUND(E2132*F2132,2)</f>
        <v>3021.12</v>
      </c>
    </row>
    <row r="2133" spans="2:7" hidden="1" outlineLevel="2">
      <c r="B2133" s="330" t="s">
        <v>2843</v>
      </c>
      <c r="C2133" s="121" t="s">
        <v>2046</v>
      </c>
      <c r="D2133" s="332" t="s">
        <v>69</v>
      </c>
      <c r="E2133" s="332">
        <v>4.4400000000000004</v>
      </c>
      <c r="F2133" s="325">
        <v>275.04000000000002</v>
      </c>
      <c r="G2133" s="436">
        <f>ROUND(E2133*F2133,2)</f>
        <v>1221.18</v>
      </c>
    </row>
    <row r="2134" spans="2:7" hidden="1" outlineLevel="2">
      <c r="B2134" s="331" t="s">
        <v>2844</v>
      </c>
      <c r="C2134" s="324" t="s">
        <v>1981</v>
      </c>
      <c r="D2134" s="332"/>
      <c r="E2134" s="332"/>
      <c r="F2134" s="325"/>
      <c r="G2134" s="435">
        <f>+SUBTOTAL(9,G2135)</f>
        <v>5785.88</v>
      </c>
    </row>
    <row r="2135" spans="2:7" hidden="1" outlineLevel="2">
      <c r="B2135" s="330" t="s">
        <v>2845</v>
      </c>
      <c r="C2135" s="121" t="s">
        <v>2049</v>
      </c>
      <c r="D2135" s="332" t="s">
        <v>1923</v>
      </c>
      <c r="E2135" s="332">
        <v>1</v>
      </c>
      <c r="F2135" s="325">
        <v>5785.88</v>
      </c>
      <c r="G2135" s="436">
        <f>ROUND(E2135*F2135,2)</f>
        <v>5785.88</v>
      </c>
    </row>
    <row r="2136" spans="2:7" hidden="1" outlineLevel="2">
      <c r="B2136" s="331" t="s">
        <v>2846</v>
      </c>
      <c r="C2136" s="324" t="s">
        <v>2051</v>
      </c>
      <c r="D2136" s="332"/>
      <c r="E2136" s="332"/>
      <c r="F2136" s="325"/>
      <c r="G2136" s="435">
        <f>+SUBTOTAL(9,G2137:G2189)</f>
        <v>421545.39999999997</v>
      </c>
    </row>
    <row r="2137" spans="2:7" hidden="1" outlineLevel="2">
      <c r="B2137" s="331" t="s">
        <v>2847</v>
      </c>
      <c r="C2137" s="324" t="s">
        <v>2053</v>
      </c>
      <c r="D2137" s="332"/>
      <c r="E2137" s="332"/>
      <c r="F2137" s="325"/>
      <c r="G2137" s="435">
        <f>+SUBTOTAL(9,G2138:G2151)</f>
        <v>106816.15999999999</v>
      </c>
    </row>
    <row r="2138" spans="2:7" hidden="1" outlineLevel="2">
      <c r="B2138" s="330" t="s">
        <v>2848</v>
      </c>
      <c r="C2138" s="121" t="s">
        <v>2849</v>
      </c>
      <c r="D2138" s="332" t="s">
        <v>43</v>
      </c>
      <c r="E2138" s="332">
        <v>1</v>
      </c>
      <c r="F2138" s="325">
        <v>24445.16</v>
      </c>
      <c r="G2138" s="436">
        <f t="shared" ref="G2138:G2151" si="55">ROUND(E2138*F2138,2)</f>
        <v>24445.16</v>
      </c>
    </row>
    <row r="2139" spans="2:7" hidden="1" outlineLevel="2">
      <c r="B2139" s="330" t="s">
        <v>2850</v>
      </c>
      <c r="C2139" s="121" t="s">
        <v>2851</v>
      </c>
      <c r="D2139" s="332" t="s">
        <v>43</v>
      </c>
      <c r="E2139" s="332">
        <v>1</v>
      </c>
      <c r="F2139" s="325">
        <v>10211.27</v>
      </c>
      <c r="G2139" s="436">
        <f t="shared" si="55"/>
        <v>10211.27</v>
      </c>
    </row>
    <row r="2140" spans="2:7" hidden="1" outlineLevel="2">
      <c r="B2140" s="330" t="s">
        <v>2852</v>
      </c>
      <c r="C2140" s="121" t="s">
        <v>2057</v>
      </c>
      <c r="D2140" s="332" t="s">
        <v>43</v>
      </c>
      <c r="E2140" s="332">
        <v>1</v>
      </c>
      <c r="F2140" s="325">
        <v>3017.56</v>
      </c>
      <c r="G2140" s="436">
        <f t="shared" si="55"/>
        <v>3017.56</v>
      </c>
    </row>
    <row r="2141" spans="2:7" hidden="1" outlineLevel="2">
      <c r="B2141" s="330" t="s">
        <v>2853</v>
      </c>
      <c r="C2141" s="121" t="s">
        <v>2061</v>
      </c>
      <c r="D2141" s="332" t="s">
        <v>43</v>
      </c>
      <c r="E2141" s="332">
        <v>3</v>
      </c>
      <c r="F2141" s="325">
        <v>344.08</v>
      </c>
      <c r="G2141" s="436">
        <f t="shared" si="55"/>
        <v>1032.24</v>
      </c>
    </row>
    <row r="2142" spans="2:7" hidden="1" outlineLevel="2">
      <c r="B2142" s="330" t="s">
        <v>2854</v>
      </c>
      <c r="C2142" s="121" t="s">
        <v>2557</v>
      </c>
      <c r="D2142" s="332" t="s">
        <v>43</v>
      </c>
      <c r="E2142" s="332">
        <v>1</v>
      </c>
      <c r="F2142" s="325">
        <v>344.08</v>
      </c>
      <c r="G2142" s="436">
        <f t="shared" si="55"/>
        <v>344.08</v>
      </c>
    </row>
    <row r="2143" spans="2:7" hidden="1" outlineLevel="2">
      <c r="B2143" s="330" t="s">
        <v>2855</v>
      </c>
      <c r="C2143" s="121" t="s">
        <v>2065</v>
      </c>
      <c r="D2143" s="332" t="s">
        <v>43</v>
      </c>
      <c r="E2143" s="332">
        <v>1</v>
      </c>
      <c r="F2143" s="325">
        <v>315.25</v>
      </c>
      <c r="G2143" s="436">
        <f t="shared" si="55"/>
        <v>315.25</v>
      </c>
    </row>
    <row r="2144" spans="2:7" hidden="1" outlineLevel="2">
      <c r="B2144" s="330" t="s">
        <v>2856</v>
      </c>
      <c r="C2144" s="121" t="s">
        <v>2071</v>
      </c>
      <c r="D2144" s="332" t="s">
        <v>43</v>
      </c>
      <c r="E2144" s="332">
        <v>1</v>
      </c>
      <c r="F2144" s="325">
        <v>90.07</v>
      </c>
      <c r="G2144" s="436">
        <f t="shared" si="55"/>
        <v>90.07</v>
      </c>
    </row>
    <row r="2145" spans="2:7" hidden="1" outlineLevel="2">
      <c r="B2145" s="330" t="s">
        <v>2857</v>
      </c>
      <c r="C2145" s="121" t="s">
        <v>2067</v>
      </c>
      <c r="D2145" s="332" t="s">
        <v>43</v>
      </c>
      <c r="E2145" s="332">
        <v>1</v>
      </c>
      <c r="F2145" s="325">
        <v>807.04</v>
      </c>
      <c r="G2145" s="436">
        <f t="shared" si="55"/>
        <v>807.04</v>
      </c>
    </row>
    <row r="2146" spans="2:7" hidden="1" outlineLevel="2">
      <c r="B2146" s="330" t="s">
        <v>2858</v>
      </c>
      <c r="C2146" s="121" t="s">
        <v>2069</v>
      </c>
      <c r="D2146" s="332" t="s">
        <v>43</v>
      </c>
      <c r="E2146" s="332">
        <v>1</v>
      </c>
      <c r="F2146" s="325">
        <v>85.57</v>
      </c>
      <c r="G2146" s="436">
        <f t="shared" si="55"/>
        <v>85.57</v>
      </c>
    </row>
    <row r="2147" spans="2:7" hidden="1" outlineLevel="2">
      <c r="B2147" s="330" t="s">
        <v>2859</v>
      </c>
      <c r="C2147" s="121" t="s">
        <v>2860</v>
      </c>
      <c r="D2147" s="332" t="s">
        <v>43</v>
      </c>
      <c r="E2147" s="332">
        <v>1</v>
      </c>
      <c r="F2147" s="325">
        <v>14574.02</v>
      </c>
      <c r="G2147" s="436">
        <f t="shared" si="55"/>
        <v>14574.02</v>
      </c>
    </row>
    <row r="2148" spans="2:7" hidden="1" outlineLevel="2">
      <c r="B2148" s="330" t="s">
        <v>2861</v>
      </c>
      <c r="C2148" s="121" t="s">
        <v>2862</v>
      </c>
      <c r="D2148" s="332" t="s">
        <v>43</v>
      </c>
      <c r="E2148" s="332">
        <v>1</v>
      </c>
      <c r="F2148" s="325">
        <v>450.36</v>
      </c>
      <c r="G2148" s="436">
        <f t="shared" si="55"/>
        <v>450.36</v>
      </c>
    </row>
    <row r="2149" spans="2:7" hidden="1" outlineLevel="2">
      <c r="B2149" s="330" t="s">
        <v>2863</v>
      </c>
      <c r="C2149" s="121" t="s">
        <v>2864</v>
      </c>
      <c r="D2149" s="332" t="s">
        <v>43</v>
      </c>
      <c r="E2149" s="332">
        <v>1</v>
      </c>
      <c r="F2149" s="325">
        <v>17082.87</v>
      </c>
      <c r="G2149" s="436">
        <f t="shared" si="55"/>
        <v>17082.87</v>
      </c>
    </row>
    <row r="2150" spans="2:7" hidden="1" outlineLevel="2">
      <c r="B2150" s="330" t="s">
        <v>2865</v>
      </c>
      <c r="C2150" s="121" t="s">
        <v>2073</v>
      </c>
      <c r="D2150" s="332" t="s">
        <v>43</v>
      </c>
      <c r="E2150" s="332">
        <v>4</v>
      </c>
      <c r="F2150" s="325">
        <v>690.57</v>
      </c>
      <c r="G2150" s="436">
        <f t="shared" si="55"/>
        <v>2762.28</v>
      </c>
    </row>
    <row r="2151" spans="2:7" hidden="1" outlineLevel="2">
      <c r="B2151" s="330" t="s">
        <v>2866</v>
      </c>
      <c r="C2151" s="121" t="s">
        <v>2075</v>
      </c>
      <c r="D2151" s="332" t="s">
        <v>1923</v>
      </c>
      <c r="E2151" s="332">
        <v>1</v>
      </c>
      <c r="F2151" s="325">
        <v>31598.39</v>
      </c>
      <c r="G2151" s="436">
        <f t="shared" si="55"/>
        <v>31598.39</v>
      </c>
    </row>
    <row r="2152" spans="2:7" hidden="1" outlineLevel="2">
      <c r="B2152" s="331" t="s">
        <v>2867</v>
      </c>
      <c r="C2152" s="324" t="s">
        <v>2868</v>
      </c>
      <c r="D2152" s="332"/>
      <c r="E2152" s="332"/>
      <c r="F2152" s="325"/>
      <c r="G2152" s="435">
        <f>+SUBTOTAL(9,G2153:G2154)</f>
        <v>56260.479999999996</v>
      </c>
    </row>
    <row r="2153" spans="2:7" hidden="1" outlineLevel="2">
      <c r="B2153" s="330" t="s">
        <v>2869</v>
      </c>
      <c r="C2153" s="121" t="s">
        <v>2870</v>
      </c>
      <c r="D2153" s="332" t="s">
        <v>43</v>
      </c>
      <c r="E2153" s="332">
        <v>1</v>
      </c>
      <c r="F2153" s="325">
        <v>8261.34</v>
      </c>
      <c r="G2153" s="436">
        <f>ROUND(E2153*F2153,2)</f>
        <v>8261.34</v>
      </c>
    </row>
    <row r="2154" spans="2:7" hidden="1" outlineLevel="2">
      <c r="B2154" s="330" t="s">
        <v>2871</v>
      </c>
      <c r="C2154" s="121" t="s">
        <v>2872</v>
      </c>
      <c r="D2154" s="332" t="s">
        <v>43</v>
      </c>
      <c r="E2154" s="332">
        <v>1</v>
      </c>
      <c r="F2154" s="325">
        <v>47999.14</v>
      </c>
      <c r="G2154" s="436">
        <f>ROUND(E2154*F2154,2)</f>
        <v>47999.14</v>
      </c>
    </row>
    <row r="2155" spans="2:7" hidden="1" outlineLevel="2">
      <c r="B2155" s="331" t="s">
        <v>2873</v>
      </c>
      <c r="C2155" s="324" t="s">
        <v>2077</v>
      </c>
      <c r="D2155" s="332"/>
      <c r="E2155" s="332"/>
      <c r="F2155" s="325"/>
      <c r="G2155" s="435">
        <f>+SUBTOTAL(9,G2156:G2160)</f>
        <v>32656.440000000002</v>
      </c>
    </row>
    <row r="2156" spans="2:7" hidden="1" outlineLevel="2">
      <c r="B2156" s="330" t="s">
        <v>2874</v>
      </c>
      <c r="C2156" s="121" t="s">
        <v>2079</v>
      </c>
      <c r="D2156" s="332" t="s">
        <v>43</v>
      </c>
      <c r="E2156" s="332">
        <v>1</v>
      </c>
      <c r="F2156" s="325">
        <v>19944.78</v>
      </c>
      <c r="G2156" s="436">
        <f>ROUND(E2156*F2156,2)</f>
        <v>19944.78</v>
      </c>
    </row>
    <row r="2157" spans="2:7" hidden="1" outlineLevel="2">
      <c r="B2157" s="330" t="s">
        <v>2875</v>
      </c>
      <c r="C2157" s="121" t="s">
        <v>2570</v>
      </c>
      <c r="D2157" s="332" t="s">
        <v>43</v>
      </c>
      <c r="E2157" s="332">
        <v>2</v>
      </c>
      <c r="F2157" s="325">
        <v>354.52</v>
      </c>
      <c r="G2157" s="436">
        <f>ROUND(E2157*F2157,2)</f>
        <v>709.04</v>
      </c>
    </row>
    <row r="2158" spans="2:7" hidden="1" outlineLevel="2">
      <c r="B2158" s="330" t="s">
        <v>2876</v>
      </c>
      <c r="C2158" s="121" t="s">
        <v>2081</v>
      </c>
      <c r="D2158" s="332" t="s">
        <v>43</v>
      </c>
      <c r="E2158" s="332">
        <v>1</v>
      </c>
      <c r="F2158" s="325">
        <v>344.08</v>
      </c>
      <c r="G2158" s="436">
        <f>ROUND(E2158*F2158,2)</f>
        <v>344.08</v>
      </c>
    </row>
    <row r="2159" spans="2:7" hidden="1" outlineLevel="2">
      <c r="B2159" s="330" t="s">
        <v>2877</v>
      </c>
      <c r="C2159" s="121" t="s">
        <v>2572</v>
      </c>
      <c r="D2159" s="332" t="s">
        <v>43</v>
      </c>
      <c r="E2159" s="332">
        <v>1</v>
      </c>
      <c r="F2159" s="325">
        <v>344.08</v>
      </c>
      <c r="G2159" s="436">
        <f>ROUND(E2159*F2159,2)</f>
        <v>344.08</v>
      </c>
    </row>
    <row r="2160" spans="2:7" hidden="1" outlineLevel="2">
      <c r="B2160" s="330" t="s">
        <v>2878</v>
      </c>
      <c r="C2160" s="121" t="s">
        <v>2879</v>
      </c>
      <c r="D2160" s="332" t="s">
        <v>43</v>
      </c>
      <c r="E2160" s="332">
        <v>1</v>
      </c>
      <c r="F2160" s="325">
        <v>11314.46</v>
      </c>
      <c r="G2160" s="436">
        <f>ROUND(E2160*F2160,2)</f>
        <v>11314.46</v>
      </c>
    </row>
    <row r="2161" spans="2:7" hidden="1" outlineLevel="2">
      <c r="B2161" s="331" t="s">
        <v>2880</v>
      </c>
      <c r="C2161" s="324" t="s">
        <v>2097</v>
      </c>
      <c r="D2161" s="332"/>
      <c r="E2161" s="332"/>
      <c r="F2161" s="325"/>
      <c r="G2161" s="435">
        <f>+SUBTOTAL(9,G2162:G2182)</f>
        <v>115022.82</v>
      </c>
    </row>
    <row r="2162" spans="2:7" hidden="1" outlineLevel="2">
      <c r="B2162" s="330" t="s">
        <v>2881</v>
      </c>
      <c r="C2162" s="121" t="s">
        <v>2882</v>
      </c>
      <c r="D2162" s="332" t="s">
        <v>43</v>
      </c>
      <c r="E2162" s="332">
        <v>1</v>
      </c>
      <c r="F2162" s="325">
        <v>2204.29</v>
      </c>
      <c r="G2162" s="436">
        <f t="shared" ref="G2162:G2182" si="56">ROUND(E2162*F2162,2)</f>
        <v>2204.29</v>
      </c>
    </row>
    <row r="2163" spans="2:7" hidden="1" outlineLevel="2">
      <c r="B2163" s="330" t="s">
        <v>2883</v>
      </c>
      <c r="C2163" s="121" t="s">
        <v>2884</v>
      </c>
      <c r="D2163" s="332" t="s">
        <v>43</v>
      </c>
      <c r="E2163" s="332">
        <v>1</v>
      </c>
      <c r="F2163" s="325">
        <v>1229.01</v>
      </c>
      <c r="G2163" s="436">
        <f t="shared" si="56"/>
        <v>1229.01</v>
      </c>
    </row>
    <row r="2164" spans="2:7" hidden="1" outlineLevel="2">
      <c r="B2164" s="330" t="s">
        <v>2885</v>
      </c>
      <c r="C2164" s="121" t="s">
        <v>2886</v>
      </c>
      <c r="D2164" s="332" t="s">
        <v>43</v>
      </c>
      <c r="E2164" s="332">
        <v>1</v>
      </c>
      <c r="F2164" s="325">
        <v>1202.19</v>
      </c>
      <c r="G2164" s="436">
        <f t="shared" si="56"/>
        <v>1202.19</v>
      </c>
    </row>
    <row r="2165" spans="2:7" hidden="1" outlineLevel="2">
      <c r="B2165" s="330" t="s">
        <v>2887</v>
      </c>
      <c r="C2165" s="121" t="s">
        <v>2888</v>
      </c>
      <c r="D2165" s="332" t="s">
        <v>43</v>
      </c>
      <c r="E2165" s="332">
        <v>1</v>
      </c>
      <c r="F2165" s="325">
        <v>1199.73</v>
      </c>
      <c r="G2165" s="436">
        <f t="shared" si="56"/>
        <v>1199.73</v>
      </c>
    </row>
    <row r="2166" spans="2:7" hidden="1" outlineLevel="2">
      <c r="B2166" s="330" t="s">
        <v>2889</v>
      </c>
      <c r="C2166" s="121" t="s">
        <v>2890</v>
      </c>
      <c r="D2166" s="332" t="s">
        <v>43</v>
      </c>
      <c r="E2166" s="332">
        <v>1</v>
      </c>
      <c r="F2166" s="325">
        <v>1380.03</v>
      </c>
      <c r="G2166" s="436">
        <f t="shared" si="56"/>
        <v>1380.03</v>
      </c>
    </row>
    <row r="2167" spans="2:7" hidden="1" outlineLevel="2">
      <c r="B2167" s="330" t="s">
        <v>2891</v>
      </c>
      <c r="C2167" s="121" t="s">
        <v>2892</v>
      </c>
      <c r="D2167" s="332" t="s">
        <v>43</v>
      </c>
      <c r="E2167" s="332">
        <v>1</v>
      </c>
      <c r="F2167" s="325">
        <v>1353.52</v>
      </c>
      <c r="G2167" s="436">
        <f t="shared" si="56"/>
        <v>1353.52</v>
      </c>
    </row>
    <row r="2168" spans="2:7" hidden="1" outlineLevel="2">
      <c r="B2168" s="330" t="s">
        <v>2893</v>
      </c>
      <c r="C2168" s="121" t="s">
        <v>2894</v>
      </c>
      <c r="D2168" s="332" t="s">
        <v>43</v>
      </c>
      <c r="E2168" s="332">
        <v>1</v>
      </c>
      <c r="F2168" s="325">
        <v>1447.4</v>
      </c>
      <c r="G2168" s="436">
        <f t="shared" si="56"/>
        <v>1447.4</v>
      </c>
    </row>
    <row r="2169" spans="2:7" hidden="1" outlineLevel="2">
      <c r="B2169" s="330" t="s">
        <v>2895</v>
      </c>
      <c r="C2169" s="121" t="s">
        <v>2896</v>
      </c>
      <c r="D2169" s="332" t="s">
        <v>43</v>
      </c>
      <c r="E2169" s="332">
        <v>1</v>
      </c>
      <c r="F2169" s="325">
        <v>2364.1999999999998</v>
      </c>
      <c r="G2169" s="436">
        <f t="shared" si="56"/>
        <v>2364.1999999999998</v>
      </c>
    </row>
    <row r="2170" spans="2:7" hidden="1" outlineLevel="2">
      <c r="B2170" s="330" t="s">
        <v>2897</v>
      </c>
      <c r="C2170" s="121" t="s">
        <v>2898</v>
      </c>
      <c r="D2170" s="332" t="s">
        <v>64</v>
      </c>
      <c r="E2170" s="332">
        <v>1</v>
      </c>
      <c r="F2170" s="325">
        <v>1303.6300000000001</v>
      </c>
      <c r="G2170" s="436">
        <f t="shared" si="56"/>
        <v>1303.6300000000001</v>
      </c>
    </row>
    <row r="2171" spans="2:7" hidden="1" outlineLevel="2">
      <c r="B2171" s="330" t="s">
        <v>2899</v>
      </c>
      <c r="C2171" s="121" t="s">
        <v>2900</v>
      </c>
      <c r="D2171" s="332" t="s">
        <v>43</v>
      </c>
      <c r="E2171" s="332">
        <v>1</v>
      </c>
      <c r="F2171" s="325">
        <v>510.48</v>
      </c>
      <c r="G2171" s="436">
        <f t="shared" si="56"/>
        <v>510.48</v>
      </c>
    </row>
    <row r="2172" spans="2:7" hidden="1" outlineLevel="2">
      <c r="B2172" s="330" t="s">
        <v>2901</v>
      </c>
      <c r="C2172" s="121" t="s">
        <v>2902</v>
      </c>
      <c r="D2172" s="332" t="s">
        <v>43</v>
      </c>
      <c r="E2172" s="332">
        <v>1</v>
      </c>
      <c r="F2172" s="325">
        <v>644.15</v>
      </c>
      <c r="G2172" s="436">
        <f t="shared" si="56"/>
        <v>644.15</v>
      </c>
    </row>
    <row r="2173" spans="2:7" hidden="1" outlineLevel="2">
      <c r="B2173" s="330" t="s">
        <v>2903</v>
      </c>
      <c r="C2173" s="121" t="s">
        <v>2904</v>
      </c>
      <c r="D2173" s="332" t="s">
        <v>43</v>
      </c>
      <c r="E2173" s="332">
        <v>1</v>
      </c>
      <c r="F2173" s="325">
        <v>547.27</v>
      </c>
      <c r="G2173" s="436">
        <f t="shared" si="56"/>
        <v>547.27</v>
      </c>
    </row>
    <row r="2174" spans="2:7" hidden="1" outlineLevel="2">
      <c r="B2174" s="330" t="s">
        <v>2905</v>
      </c>
      <c r="C2174" s="121" t="s">
        <v>2906</v>
      </c>
      <c r="D2174" s="332" t="s">
        <v>43</v>
      </c>
      <c r="E2174" s="332">
        <v>1</v>
      </c>
      <c r="F2174" s="325">
        <v>569.79</v>
      </c>
      <c r="G2174" s="436">
        <f t="shared" si="56"/>
        <v>569.79</v>
      </c>
    </row>
    <row r="2175" spans="2:7" hidden="1" outlineLevel="2">
      <c r="B2175" s="330" t="s">
        <v>2907</v>
      </c>
      <c r="C2175" s="121" t="s">
        <v>2908</v>
      </c>
      <c r="D2175" s="332" t="s">
        <v>43</v>
      </c>
      <c r="E2175" s="332">
        <v>1</v>
      </c>
      <c r="F2175" s="325">
        <v>1906.32</v>
      </c>
      <c r="G2175" s="436">
        <f t="shared" si="56"/>
        <v>1906.32</v>
      </c>
    </row>
    <row r="2176" spans="2:7" hidden="1" outlineLevel="2">
      <c r="B2176" s="330" t="s">
        <v>2909</v>
      </c>
      <c r="C2176" s="121" t="s">
        <v>2910</v>
      </c>
      <c r="D2176" s="332" t="s">
        <v>43</v>
      </c>
      <c r="E2176" s="332">
        <v>1</v>
      </c>
      <c r="F2176" s="325">
        <v>816.38</v>
      </c>
      <c r="G2176" s="436">
        <f t="shared" si="56"/>
        <v>816.38</v>
      </c>
    </row>
    <row r="2177" spans="2:7" hidden="1" outlineLevel="2">
      <c r="B2177" s="330" t="s">
        <v>2911</v>
      </c>
      <c r="C2177" s="121" t="s">
        <v>2912</v>
      </c>
      <c r="D2177" s="332" t="s">
        <v>43</v>
      </c>
      <c r="E2177" s="332">
        <v>1</v>
      </c>
      <c r="F2177" s="325">
        <v>887.42</v>
      </c>
      <c r="G2177" s="436">
        <f t="shared" si="56"/>
        <v>887.42</v>
      </c>
    </row>
    <row r="2178" spans="2:7" hidden="1" outlineLevel="2">
      <c r="B2178" s="330" t="s">
        <v>2913</v>
      </c>
      <c r="C2178" s="121" t="s">
        <v>2141</v>
      </c>
      <c r="D2178" s="332" t="s">
        <v>43</v>
      </c>
      <c r="E2178" s="332">
        <v>4</v>
      </c>
      <c r="F2178" s="325">
        <v>2750.07</v>
      </c>
      <c r="G2178" s="436">
        <f t="shared" si="56"/>
        <v>11000.28</v>
      </c>
    </row>
    <row r="2179" spans="2:7" hidden="1" outlineLevel="2">
      <c r="B2179" s="330" t="s">
        <v>2914</v>
      </c>
      <c r="C2179" s="121" t="s">
        <v>2915</v>
      </c>
      <c r="D2179" s="332" t="s">
        <v>64</v>
      </c>
      <c r="E2179" s="332">
        <v>75</v>
      </c>
      <c r="F2179" s="325">
        <v>483.76</v>
      </c>
      <c r="G2179" s="436">
        <f t="shared" si="56"/>
        <v>36282</v>
      </c>
    </row>
    <row r="2180" spans="2:7" hidden="1" outlineLevel="2">
      <c r="B2180" s="330" t="s">
        <v>2916</v>
      </c>
      <c r="C2180" s="121" t="s">
        <v>2917</v>
      </c>
      <c r="D2180" s="332" t="s">
        <v>64</v>
      </c>
      <c r="E2180" s="332">
        <v>1</v>
      </c>
      <c r="F2180" s="325">
        <v>2670.85</v>
      </c>
      <c r="G2180" s="436">
        <f t="shared" si="56"/>
        <v>2670.85</v>
      </c>
    </row>
    <row r="2181" spans="2:7" hidden="1" outlineLevel="2">
      <c r="B2181" s="330" t="s">
        <v>2918</v>
      </c>
      <c r="C2181" s="121" t="s">
        <v>2919</v>
      </c>
      <c r="D2181" s="332" t="s">
        <v>43</v>
      </c>
      <c r="E2181" s="332">
        <v>1</v>
      </c>
      <c r="F2181" s="325">
        <v>666.03</v>
      </c>
      <c r="G2181" s="436">
        <f t="shared" si="56"/>
        <v>666.03</v>
      </c>
    </row>
    <row r="2182" spans="2:7" hidden="1" outlineLevel="2">
      <c r="B2182" s="330" t="s">
        <v>2920</v>
      </c>
      <c r="C2182" s="121" t="s">
        <v>2145</v>
      </c>
      <c r="D2182" s="332" t="s">
        <v>43</v>
      </c>
      <c r="E2182" s="332">
        <v>1</v>
      </c>
      <c r="F2182" s="325">
        <v>44837.85</v>
      </c>
      <c r="G2182" s="436">
        <f t="shared" si="56"/>
        <v>44837.85</v>
      </c>
    </row>
    <row r="2183" spans="2:7" hidden="1" outlineLevel="2">
      <c r="B2183" s="331" t="s">
        <v>2921</v>
      </c>
      <c r="C2183" s="324" t="s">
        <v>2147</v>
      </c>
      <c r="D2183" s="332"/>
      <c r="E2183" s="332"/>
      <c r="F2183" s="325"/>
      <c r="G2183" s="435">
        <f>+SUBTOTAL(9,G2184:G2189)</f>
        <v>110789.5</v>
      </c>
    </row>
    <row r="2184" spans="2:7" hidden="1" outlineLevel="2">
      <c r="B2184" s="330" t="s">
        <v>2922</v>
      </c>
      <c r="C2184" s="121" t="s">
        <v>2923</v>
      </c>
      <c r="D2184" s="332" t="s">
        <v>43</v>
      </c>
      <c r="E2184" s="332">
        <v>15</v>
      </c>
      <c r="F2184" s="325">
        <v>378.44</v>
      </c>
      <c r="G2184" s="436">
        <f t="shared" ref="G2184:G2189" si="57">ROUND(E2184*F2184,2)</f>
        <v>5676.6</v>
      </c>
    </row>
    <row r="2185" spans="2:7" hidden="1" outlineLevel="2">
      <c r="B2185" s="330" t="s">
        <v>2924</v>
      </c>
      <c r="C2185" s="121" t="s">
        <v>2151</v>
      </c>
      <c r="D2185" s="332" t="s">
        <v>1923</v>
      </c>
      <c r="E2185" s="332">
        <v>1</v>
      </c>
      <c r="F2185" s="325">
        <v>7758.1</v>
      </c>
      <c r="G2185" s="436">
        <f t="shared" si="57"/>
        <v>7758.1</v>
      </c>
    </row>
    <row r="2186" spans="2:7" hidden="1" outlineLevel="2">
      <c r="B2186" s="330" t="s">
        <v>2925</v>
      </c>
      <c r="C2186" s="121" t="s">
        <v>2153</v>
      </c>
      <c r="D2186" s="332" t="s">
        <v>1923</v>
      </c>
      <c r="E2186" s="332">
        <v>1</v>
      </c>
      <c r="F2186" s="325">
        <v>5582.04</v>
      </c>
      <c r="G2186" s="436">
        <f t="shared" si="57"/>
        <v>5582.04</v>
      </c>
    </row>
    <row r="2187" spans="2:7" hidden="1" outlineLevel="2">
      <c r="B2187" s="330" t="s">
        <v>2926</v>
      </c>
      <c r="C2187" s="121" t="s">
        <v>2155</v>
      </c>
      <c r="D2187" s="332" t="s">
        <v>1923</v>
      </c>
      <c r="E2187" s="332">
        <v>4</v>
      </c>
      <c r="F2187" s="325">
        <v>3784.44</v>
      </c>
      <c r="G2187" s="436">
        <f t="shared" si="57"/>
        <v>15137.76</v>
      </c>
    </row>
    <row r="2188" spans="2:7" hidden="1" outlineLevel="2">
      <c r="B2188" s="330" t="s">
        <v>2927</v>
      </c>
      <c r="C2188" s="121" t="s">
        <v>2928</v>
      </c>
      <c r="D2188" s="332" t="s">
        <v>2158</v>
      </c>
      <c r="E2188" s="332">
        <v>5</v>
      </c>
      <c r="F2188" s="325">
        <v>8514.99</v>
      </c>
      <c r="G2188" s="436">
        <f t="shared" si="57"/>
        <v>42574.95</v>
      </c>
    </row>
    <row r="2189" spans="2:7" hidden="1" outlineLevel="2">
      <c r="B2189" s="330" t="s">
        <v>2929</v>
      </c>
      <c r="C2189" s="121" t="s">
        <v>2160</v>
      </c>
      <c r="D2189" s="332" t="s">
        <v>2158</v>
      </c>
      <c r="E2189" s="332">
        <v>5</v>
      </c>
      <c r="F2189" s="325">
        <v>6812.01</v>
      </c>
      <c r="G2189" s="436">
        <f t="shared" si="57"/>
        <v>34060.050000000003</v>
      </c>
    </row>
    <row r="2190" spans="2:7" hidden="1" outlineLevel="1" collapsed="1">
      <c r="B2190" s="331">
        <v>2.04</v>
      </c>
      <c r="C2190" s="324" t="s">
        <v>2930</v>
      </c>
      <c r="D2190" s="332"/>
      <c r="E2190" s="332"/>
      <c r="F2190" s="325"/>
      <c r="G2190" s="435">
        <f>+SUBTOTAL(9,G2191:G2195)</f>
        <v>9922.869999999999</v>
      </c>
    </row>
    <row r="2191" spans="2:7" hidden="1" outlineLevel="2">
      <c r="B2191" s="331" t="s">
        <v>2931</v>
      </c>
      <c r="C2191" s="324" t="s">
        <v>2932</v>
      </c>
      <c r="D2191" s="332"/>
      <c r="E2191" s="332"/>
      <c r="F2191" s="325"/>
      <c r="G2191" s="435">
        <f>+SUBTOTAL(9,G2192:G2195)</f>
        <v>9922.869999999999</v>
      </c>
    </row>
    <row r="2192" spans="2:7" hidden="1" outlineLevel="2">
      <c r="B2192" s="331" t="s">
        <v>2933</v>
      </c>
      <c r="C2192" s="324" t="s">
        <v>2934</v>
      </c>
      <c r="D2192" s="332"/>
      <c r="E2192" s="332"/>
      <c r="F2192" s="325"/>
      <c r="G2192" s="435">
        <f>+SUBTOTAL(9,G2193:G2195)</f>
        <v>9922.869999999999</v>
      </c>
    </row>
    <row r="2193" spans="2:8" hidden="1" outlineLevel="2">
      <c r="B2193" s="330" t="s">
        <v>2935</v>
      </c>
      <c r="C2193" s="121" t="s">
        <v>1708</v>
      </c>
      <c r="D2193" s="332" t="s">
        <v>64</v>
      </c>
      <c r="E2193" s="332">
        <v>7.34</v>
      </c>
      <c r="F2193" s="325">
        <v>498.46</v>
      </c>
      <c r="G2193" s="436">
        <f>ROUND(E2193*F2193,2)</f>
        <v>3658.7</v>
      </c>
    </row>
    <row r="2194" spans="2:8" hidden="1" outlineLevel="2">
      <c r="B2194" s="330" t="s">
        <v>2936</v>
      </c>
      <c r="C2194" s="121" t="s">
        <v>2937</v>
      </c>
      <c r="D2194" s="332" t="s">
        <v>64</v>
      </c>
      <c r="E2194" s="332">
        <v>8</v>
      </c>
      <c r="F2194" s="325">
        <v>51.57</v>
      </c>
      <c r="G2194" s="436">
        <f>ROUND(E2194*F2194,2)</f>
        <v>412.56</v>
      </c>
    </row>
    <row r="2195" spans="2:8" hidden="1" outlineLevel="2">
      <c r="B2195" s="330" t="s">
        <v>2938</v>
      </c>
      <c r="C2195" s="121" t="s">
        <v>2630</v>
      </c>
      <c r="D2195" s="332" t="s">
        <v>43</v>
      </c>
      <c r="E2195" s="332">
        <v>1</v>
      </c>
      <c r="F2195" s="325">
        <v>5851.61</v>
      </c>
      <c r="G2195" s="436">
        <f>ROUND(E2195*F2195,2)</f>
        <v>5851.61</v>
      </c>
    </row>
    <row r="2196" spans="2:8" ht="20.100000000000001" customHeight="1">
      <c r="B2196" s="492">
        <v>3</v>
      </c>
      <c r="C2196" s="493" t="s">
        <v>2939</v>
      </c>
      <c r="D2196" s="494"/>
      <c r="E2196" s="494"/>
      <c r="F2196" s="495"/>
      <c r="G2196" s="496">
        <f>+SUBTOTAL(9,G2197:G2739)</f>
        <v>21872767.16</v>
      </c>
    </row>
    <row r="2197" spans="2:8" outlineLevel="1" collapsed="1">
      <c r="B2197" s="331">
        <v>3.01</v>
      </c>
      <c r="C2197" s="324" t="s">
        <v>2940</v>
      </c>
      <c r="D2197" s="332"/>
      <c r="E2197" s="332"/>
      <c r="F2197" s="325"/>
      <c r="G2197" s="435">
        <f>+SUBTOTAL(9,G2198:G2204)</f>
        <v>637251.55999999994</v>
      </c>
    </row>
    <row r="2198" spans="2:8" hidden="1" outlineLevel="2">
      <c r="B2198" s="330" t="s">
        <v>2941</v>
      </c>
      <c r="C2198" s="121" t="s">
        <v>1573</v>
      </c>
      <c r="D2198" s="332" t="s">
        <v>64</v>
      </c>
      <c r="E2198" s="327">
        <v>148462.54999999999</v>
      </c>
      <c r="F2198" s="325">
        <v>0.93</v>
      </c>
      <c r="G2198" s="436">
        <f t="shared" ref="G2198:G2204" si="58">ROUND(E2198*F2198,2)</f>
        <v>138070.17000000001</v>
      </c>
    </row>
    <row r="2199" spans="2:8" hidden="1" outlineLevel="2">
      <c r="B2199" s="330" t="s">
        <v>2942</v>
      </c>
      <c r="C2199" s="121" t="s">
        <v>1575</v>
      </c>
      <c r="D2199" s="332" t="s">
        <v>64</v>
      </c>
      <c r="E2199" s="327">
        <v>148462.54999999999</v>
      </c>
      <c r="F2199" s="325">
        <v>1.26</v>
      </c>
      <c r="G2199" s="436">
        <f t="shared" si="58"/>
        <v>187062.81</v>
      </c>
    </row>
    <row r="2200" spans="2:8" hidden="1" outlineLevel="2">
      <c r="B2200" s="330" t="s">
        <v>2943</v>
      </c>
      <c r="C2200" s="121" t="s">
        <v>2944</v>
      </c>
      <c r="D2200" s="332" t="s">
        <v>43</v>
      </c>
      <c r="E2200" s="332">
        <v>372</v>
      </c>
      <c r="F2200" s="325">
        <v>87.13</v>
      </c>
      <c r="G2200" s="436">
        <f t="shared" si="58"/>
        <v>32412.36</v>
      </c>
    </row>
    <row r="2201" spans="2:8" hidden="1" outlineLevel="2">
      <c r="B2201" s="330" t="s">
        <v>2945</v>
      </c>
      <c r="C2201" s="121" t="s">
        <v>1577</v>
      </c>
      <c r="D2201" s="332" t="s">
        <v>43</v>
      </c>
      <c r="E2201" s="332">
        <v>495</v>
      </c>
      <c r="F2201" s="325">
        <v>109.84</v>
      </c>
      <c r="G2201" s="436">
        <f t="shared" si="58"/>
        <v>54370.8</v>
      </c>
    </row>
    <row r="2202" spans="2:8" hidden="1" outlineLevel="2">
      <c r="B2202" s="330" t="s">
        <v>2946</v>
      </c>
      <c r="C2202" s="121" t="s">
        <v>1579</v>
      </c>
      <c r="D2202" s="332" t="s">
        <v>43</v>
      </c>
      <c r="E2202" s="332">
        <v>743</v>
      </c>
      <c r="F2202" s="325">
        <v>55.99</v>
      </c>
      <c r="G2202" s="436">
        <f t="shared" si="58"/>
        <v>41600.57</v>
      </c>
    </row>
    <row r="2203" spans="2:8" hidden="1" outlineLevel="2">
      <c r="B2203" s="330" t="s">
        <v>2947</v>
      </c>
      <c r="C2203" s="121" t="s">
        <v>1581</v>
      </c>
      <c r="D2203" s="332" t="s">
        <v>43</v>
      </c>
      <c r="E2203" s="332">
        <v>248</v>
      </c>
      <c r="F2203" s="325">
        <v>369.71</v>
      </c>
      <c r="G2203" s="436">
        <f t="shared" si="58"/>
        <v>91688.08</v>
      </c>
    </row>
    <row r="2204" spans="2:8" ht="30" hidden="1" outlineLevel="2">
      <c r="B2204" s="330" t="s">
        <v>2948</v>
      </c>
      <c r="C2204" s="121" t="s">
        <v>2949</v>
      </c>
      <c r="D2204" s="332" t="s">
        <v>64</v>
      </c>
      <c r="E2204" s="327">
        <v>74231.27</v>
      </c>
      <c r="F2204" s="325">
        <v>1.24</v>
      </c>
      <c r="G2204" s="436">
        <f t="shared" si="58"/>
        <v>92046.77</v>
      </c>
    </row>
    <row r="2205" spans="2:8" outlineLevel="1">
      <c r="B2205" s="331">
        <v>3.02</v>
      </c>
      <c r="C2205" s="324" t="s">
        <v>2950</v>
      </c>
      <c r="D2205" s="332"/>
      <c r="E2205" s="332"/>
      <c r="F2205" s="325"/>
      <c r="G2205" s="435">
        <f>+SUBTOTAL(9,G2206:G2446)</f>
        <v>8293510.0000000093</v>
      </c>
      <c r="H2205" s="120"/>
    </row>
    <row r="2206" spans="2:8" outlineLevel="2" collapsed="1">
      <c r="B2206" s="331" t="s">
        <v>2951</v>
      </c>
      <c r="C2206" s="324" t="s">
        <v>2952</v>
      </c>
      <c r="D2206" s="332"/>
      <c r="E2206" s="332"/>
      <c r="F2206" s="325"/>
      <c r="G2206" s="435">
        <f>+SUBTOTAL(9,G2207:G2250)</f>
        <v>1211481.1100000001</v>
      </c>
    </row>
    <row r="2207" spans="2:8" hidden="1" outlineLevel="3">
      <c r="B2207" s="331" t="s">
        <v>2953</v>
      </c>
      <c r="C2207" s="324" t="s">
        <v>2954</v>
      </c>
      <c r="D2207" s="332"/>
      <c r="E2207" s="332"/>
      <c r="F2207" s="325"/>
      <c r="G2207" s="435">
        <f>+SUBTOTAL(9,G2208)</f>
        <v>83540.83</v>
      </c>
    </row>
    <row r="2208" spans="2:8" hidden="1" outlineLevel="3">
      <c r="B2208" s="330" t="s">
        <v>2955</v>
      </c>
      <c r="C2208" s="121" t="s">
        <v>2956</v>
      </c>
      <c r="D2208" s="332" t="s">
        <v>57</v>
      </c>
      <c r="E2208" s="332">
        <v>452.33</v>
      </c>
      <c r="F2208" s="325">
        <v>184.69</v>
      </c>
      <c r="G2208" s="436">
        <f>ROUND(E2208*F2208,2)</f>
        <v>83540.83</v>
      </c>
    </row>
    <row r="2209" spans="2:7" hidden="1" outlineLevel="3">
      <c r="B2209" s="331" t="s">
        <v>2957</v>
      </c>
      <c r="C2209" s="324" t="s">
        <v>1585</v>
      </c>
      <c r="D2209" s="332"/>
      <c r="E2209" s="332"/>
      <c r="F2209" s="325"/>
      <c r="G2209" s="435">
        <f>+SUBTOTAL(9,G2210:G2215)</f>
        <v>560500.30000000005</v>
      </c>
    </row>
    <row r="2210" spans="2:7" hidden="1" outlineLevel="3">
      <c r="B2210" s="330" t="s">
        <v>2958</v>
      </c>
      <c r="C2210" s="121" t="s">
        <v>2959</v>
      </c>
      <c r="D2210" s="332" t="s">
        <v>64</v>
      </c>
      <c r="E2210" s="332">
        <v>453.68</v>
      </c>
      <c r="F2210" s="325">
        <v>467.99</v>
      </c>
      <c r="G2210" s="436">
        <f t="shared" ref="G2210:G2218" si="59">ROUND(E2210*F2210,2)</f>
        <v>212317.7</v>
      </c>
    </row>
    <row r="2211" spans="2:7" hidden="1" outlineLevel="3">
      <c r="B2211" s="330" t="s">
        <v>2960</v>
      </c>
      <c r="C2211" s="121" t="s">
        <v>2961</v>
      </c>
      <c r="D2211" s="332" t="s">
        <v>64</v>
      </c>
      <c r="E2211" s="332">
        <v>7.64</v>
      </c>
      <c r="F2211" s="325">
        <v>489.5</v>
      </c>
      <c r="G2211" s="436">
        <f t="shared" si="59"/>
        <v>3739.78</v>
      </c>
    </row>
    <row r="2212" spans="2:7" ht="30" hidden="1" outlineLevel="3">
      <c r="B2212" s="330" t="s">
        <v>2962</v>
      </c>
      <c r="C2212" s="121" t="s">
        <v>2963</v>
      </c>
      <c r="D2212" s="332" t="s">
        <v>64</v>
      </c>
      <c r="E2212" s="332">
        <v>272.85000000000002</v>
      </c>
      <c r="F2212" s="325">
        <v>563.97</v>
      </c>
      <c r="G2212" s="436">
        <f t="shared" si="59"/>
        <v>153879.21</v>
      </c>
    </row>
    <row r="2213" spans="2:7" ht="30" hidden="1" outlineLevel="3">
      <c r="B2213" s="330" t="s">
        <v>2964</v>
      </c>
      <c r="C2213" s="121" t="s">
        <v>2965</v>
      </c>
      <c r="D2213" s="332" t="s">
        <v>64</v>
      </c>
      <c r="E2213" s="332">
        <v>25.79</v>
      </c>
      <c r="F2213" s="325">
        <v>585.48</v>
      </c>
      <c r="G2213" s="436">
        <f t="shared" si="59"/>
        <v>15099.53</v>
      </c>
    </row>
    <row r="2214" spans="2:7" hidden="1" outlineLevel="3">
      <c r="B2214" s="330" t="s">
        <v>2966</v>
      </c>
      <c r="C2214" s="121" t="s">
        <v>2967</v>
      </c>
      <c r="D2214" s="332" t="s">
        <v>1872</v>
      </c>
      <c r="E2214" s="332">
        <v>1</v>
      </c>
      <c r="F2214" s="325">
        <v>63364.57</v>
      </c>
      <c r="G2214" s="436">
        <f t="shared" si="59"/>
        <v>63364.57</v>
      </c>
    </row>
    <row r="2215" spans="2:7" hidden="1" outlineLevel="3">
      <c r="B2215" s="330" t="s">
        <v>2968</v>
      </c>
      <c r="C2215" s="121" t="s">
        <v>2969</v>
      </c>
      <c r="D2215" s="332" t="s">
        <v>1872</v>
      </c>
      <c r="E2215" s="332">
        <v>1</v>
      </c>
      <c r="F2215" s="325">
        <v>112099.51</v>
      </c>
      <c r="G2215" s="436">
        <f t="shared" si="59"/>
        <v>112099.51</v>
      </c>
    </row>
    <row r="2216" spans="2:7" hidden="1" outlineLevel="3">
      <c r="B2216" s="331" t="s">
        <v>2970</v>
      </c>
      <c r="C2216" s="324" t="s">
        <v>2971</v>
      </c>
      <c r="D2216" s="332"/>
      <c r="E2216" s="332"/>
      <c r="F2216" s="325"/>
      <c r="G2216" s="435">
        <f>+SUBTOTAL(9,G2217:G2218)</f>
        <v>47149.7</v>
      </c>
    </row>
    <row r="2217" spans="2:7" ht="30" hidden="1" outlineLevel="3">
      <c r="B2217" s="330" t="s">
        <v>2972</v>
      </c>
      <c r="C2217" s="121" t="s">
        <v>2973</v>
      </c>
      <c r="D2217" s="332" t="s">
        <v>43</v>
      </c>
      <c r="E2217" s="332">
        <v>1</v>
      </c>
      <c r="F2217" s="325">
        <v>21628.6</v>
      </c>
      <c r="G2217" s="436">
        <f t="shared" si="59"/>
        <v>21628.6</v>
      </c>
    </row>
    <row r="2218" spans="2:7" hidden="1" outlineLevel="3">
      <c r="B2218" s="330" t="s">
        <v>2974</v>
      </c>
      <c r="C2218" s="121" t="s">
        <v>2975</v>
      </c>
      <c r="D2218" s="332" t="s">
        <v>43</v>
      </c>
      <c r="E2218" s="332">
        <v>1</v>
      </c>
      <c r="F2218" s="325">
        <v>25521.1</v>
      </c>
      <c r="G2218" s="436">
        <f t="shared" si="59"/>
        <v>25521.1</v>
      </c>
    </row>
    <row r="2219" spans="2:7" hidden="1" outlineLevel="3">
      <c r="B2219" s="331" t="s">
        <v>2976</v>
      </c>
      <c r="C2219" s="324" t="s">
        <v>2977</v>
      </c>
      <c r="D2219" s="332"/>
      <c r="E2219" s="332"/>
      <c r="F2219" s="325"/>
      <c r="G2219" s="435">
        <f>+SUBTOTAL(9,G2220:G2225)</f>
        <v>102670.55</v>
      </c>
    </row>
    <row r="2220" spans="2:7" hidden="1" outlineLevel="3">
      <c r="B2220" s="331" t="s">
        <v>2978</v>
      </c>
      <c r="C2220" s="324" t="s">
        <v>2979</v>
      </c>
      <c r="D2220" s="332"/>
      <c r="E2220" s="332"/>
      <c r="F2220" s="325"/>
      <c r="G2220" s="435">
        <f>+SUBTOTAL(9,G2221:G2222)</f>
        <v>57977.87</v>
      </c>
    </row>
    <row r="2221" spans="2:7" hidden="1" outlineLevel="3">
      <c r="B2221" s="330" t="s">
        <v>2980</v>
      </c>
      <c r="C2221" s="121" t="s">
        <v>2981</v>
      </c>
      <c r="D2221" s="332" t="s">
        <v>43</v>
      </c>
      <c r="E2221" s="332">
        <v>4</v>
      </c>
      <c r="F2221" s="325">
        <v>6661.31</v>
      </c>
      <c r="G2221" s="436">
        <f>ROUND(E2221*F2221,2)</f>
        <v>26645.24</v>
      </c>
    </row>
    <row r="2222" spans="2:7" hidden="1" outlineLevel="3">
      <c r="B2222" s="330" t="s">
        <v>2982</v>
      </c>
      <c r="C2222" s="121" t="s">
        <v>2983</v>
      </c>
      <c r="D2222" s="332" t="s">
        <v>43</v>
      </c>
      <c r="E2222" s="332">
        <v>3</v>
      </c>
      <c r="F2222" s="325">
        <v>10444.209999999999</v>
      </c>
      <c r="G2222" s="436">
        <f>ROUND(E2222*F2222,2)</f>
        <v>31332.63</v>
      </c>
    </row>
    <row r="2223" spans="2:7" hidden="1" outlineLevel="3">
      <c r="B2223" s="331" t="s">
        <v>2984</v>
      </c>
      <c r="C2223" s="324" t="s">
        <v>2985</v>
      </c>
      <c r="D2223" s="332"/>
      <c r="E2223" s="332"/>
      <c r="F2223" s="325"/>
      <c r="G2223" s="435">
        <f>+SUBTOTAL(9,G2224:G2225)</f>
        <v>44692.68</v>
      </c>
    </row>
    <row r="2224" spans="2:7" hidden="1" outlineLevel="3">
      <c r="B2224" s="330" t="s">
        <v>2986</v>
      </c>
      <c r="C2224" s="121" t="s">
        <v>2987</v>
      </c>
      <c r="D2224" s="332" t="s">
        <v>43</v>
      </c>
      <c r="E2224" s="332">
        <v>4</v>
      </c>
      <c r="F2224" s="325">
        <v>6141.12</v>
      </c>
      <c r="G2224" s="436">
        <f>ROUND(E2224*F2224,2)</f>
        <v>24564.48</v>
      </c>
    </row>
    <row r="2225" spans="2:7" hidden="1" outlineLevel="3">
      <c r="B2225" s="330" t="s">
        <v>2988</v>
      </c>
      <c r="C2225" s="121" t="s">
        <v>2989</v>
      </c>
      <c r="D2225" s="332" t="s">
        <v>43</v>
      </c>
      <c r="E2225" s="332">
        <v>3</v>
      </c>
      <c r="F2225" s="325">
        <v>6709.4</v>
      </c>
      <c r="G2225" s="436">
        <f>ROUND(E2225*F2225,2)</f>
        <v>20128.2</v>
      </c>
    </row>
    <row r="2226" spans="2:7" hidden="1" outlineLevel="3">
      <c r="B2226" s="331" t="s">
        <v>2990</v>
      </c>
      <c r="C2226" s="324" t="s">
        <v>2991</v>
      </c>
      <c r="D2226" s="332"/>
      <c r="E2226" s="332"/>
      <c r="F2226" s="325"/>
      <c r="G2226" s="435">
        <f>+SUBTOTAL(9,G2227:G2246)</f>
        <v>107807.01</v>
      </c>
    </row>
    <row r="2227" spans="2:7" hidden="1" outlineLevel="3">
      <c r="B2227" s="331" t="s">
        <v>2992</v>
      </c>
      <c r="C2227" s="324" t="s">
        <v>54</v>
      </c>
      <c r="D2227" s="332"/>
      <c r="E2227" s="332"/>
      <c r="F2227" s="325"/>
      <c r="G2227" s="435">
        <f>+SUBTOTAL(9,G2228:G2231)</f>
        <v>57387.66</v>
      </c>
    </row>
    <row r="2228" spans="2:7" hidden="1" outlineLevel="3">
      <c r="B2228" s="330" t="s">
        <v>2993</v>
      </c>
      <c r="C2228" s="121" t="s">
        <v>2994</v>
      </c>
      <c r="D2228" s="332" t="s">
        <v>69</v>
      </c>
      <c r="E2228" s="332">
        <v>600</v>
      </c>
      <c r="F2228" s="325">
        <v>8.36</v>
      </c>
      <c r="G2228" s="436">
        <f>ROUND(E2228*F2228,2)</f>
        <v>5016</v>
      </c>
    </row>
    <row r="2229" spans="2:7" hidden="1" outlineLevel="3">
      <c r="B2229" s="330" t="s">
        <v>2995</v>
      </c>
      <c r="C2229" s="121" t="s">
        <v>2996</v>
      </c>
      <c r="D2229" s="332" t="s">
        <v>57</v>
      </c>
      <c r="E2229" s="332">
        <v>600</v>
      </c>
      <c r="F2229" s="325">
        <v>7.14</v>
      </c>
      <c r="G2229" s="436">
        <f>ROUND(E2229*F2229,2)</f>
        <v>4284</v>
      </c>
    </row>
    <row r="2230" spans="2:7" hidden="1" outlineLevel="3">
      <c r="B2230" s="330" t="s">
        <v>2997</v>
      </c>
      <c r="C2230" s="121" t="s">
        <v>2998</v>
      </c>
      <c r="D2230" s="332" t="s">
        <v>2999</v>
      </c>
      <c r="E2230" s="332">
        <v>168</v>
      </c>
      <c r="F2230" s="325">
        <v>137.74</v>
      </c>
      <c r="G2230" s="436">
        <f>ROUND(E2230*F2230,2)</f>
        <v>23140.32</v>
      </c>
    </row>
    <row r="2231" spans="2:7" hidden="1" outlineLevel="3">
      <c r="B2231" s="330" t="s">
        <v>3000</v>
      </c>
      <c r="C2231" s="121" t="s">
        <v>3001</v>
      </c>
      <c r="D2231" s="332" t="s">
        <v>1923</v>
      </c>
      <c r="E2231" s="332">
        <v>1</v>
      </c>
      <c r="F2231" s="325">
        <v>24947.34</v>
      </c>
      <c r="G2231" s="436">
        <f>ROUND(E2231*F2231,2)</f>
        <v>24947.34</v>
      </c>
    </row>
    <row r="2232" spans="2:7" hidden="1" outlineLevel="3">
      <c r="B2232" s="331" t="s">
        <v>3002</v>
      </c>
      <c r="C2232" s="324" t="s">
        <v>3003</v>
      </c>
      <c r="D2232" s="332"/>
      <c r="E2232" s="332"/>
      <c r="F2232" s="325"/>
      <c r="G2232" s="435">
        <f>+SUBTOTAL(9,G2233:G2234)</f>
        <v>21751.8</v>
      </c>
    </row>
    <row r="2233" spans="2:7" hidden="1" outlineLevel="3">
      <c r="B2233" s="330" t="s">
        <v>3004</v>
      </c>
      <c r="C2233" s="121" t="s">
        <v>3005</v>
      </c>
      <c r="D2233" s="332" t="s">
        <v>69</v>
      </c>
      <c r="E2233" s="332">
        <v>300</v>
      </c>
      <c r="F2233" s="325">
        <v>14.57</v>
      </c>
      <c r="G2233" s="436">
        <f>ROUND(E2233*F2233,2)</f>
        <v>4371</v>
      </c>
    </row>
    <row r="2234" spans="2:7" hidden="1" outlineLevel="3">
      <c r="B2234" s="330" t="s">
        <v>3006</v>
      </c>
      <c r="C2234" s="121" t="s">
        <v>75</v>
      </c>
      <c r="D2234" s="332" t="s">
        <v>69</v>
      </c>
      <c r="E2234" s="332">
        <v>180</v>
      </c>
      <c r="F2234" s="325">
        <v>96.56</v>
      </c>
      <c r="G2234" s="436">
        <f>ROUND(E2234*F2234,2)</f>
        <v>17380.8</v>
      </c>
    </row>
    <row r="2235" spans="2:7" hidden="1" outlineLevel="3">
      <c r="B2235" s="331" t="s">
        <v>3007</v>
      </c>
      <c r="C2235" s="324" t="s">
        <v>3008</v>
      </c>
      <c r="D2235" s="332"/>
      <c r="E2235" s="332"/>
      <c r="F2235" s="325"/>
      <c r="G2235" s="435">
        <f>+SUBTOTAL(9,G2236:G2240)</f>
        <v>14556.07</v>
      </c>
    </row>
    <row r="2236" spans="2:7" hidden="1" outlineLevel="3">
      <c r="B2236" s="331" t="s">
        <v>3009</v>
      </c>
      <c r="C2236" s="324" t="s">
        <v>3010</v>
      </c>
      <c r="D2236" s="332"/>
      <c r="E2236" s="332"/>
      <c r="F2236" s="325"/>
      <c r="G2236" s="435">
        <f>+SUBTOTAL(9,G2237:G2240)</f>
        <v>14556.07</v>
      </c>
    </row>
    <row r="2237" spans="2:7" ht="30" hidden="1" outlineLevel="3">
      <c r="B2237" s="330" t="s">
        <v>3011</v>
      </c>
      <c r="C2237" s="121" t="s">
        <v>3012</v>
      </c>
      <c r="D2237" s="332" t="s">
        <v>69</v>
      </c>
      <c r="E2237" s="332">
        <v>47.14</v>
      </c>
      <c r="F2237" s="325">
        <v>8.68</v>
      </c>
      <c r="G2237" s="436">
        <f>ROUND(E2237*F2237,2)</f>
        <v>409.18</v>
      </c>
    </row>
    <row r="2238" spans="2:7" hidden="1" outlineLevel="3">
      <c r="B2238" s="330" t="s">
        <v>3013</v>
      </c>
      <c r="C2238" s="121" t="s">
        <v>3014</v>
      </c>
      <c r="D2238" s="332" t="s">
        <v>69</v>
      </c>
      <c r="E2238" s="332">
        <v>47.14</v>
      </c>
      <c r="F2238" s="325">
        <v>115.72</v>
      </c>
      <c r="G2238" s="436">
        <f>ROUND(E2238*F2238,2)</f>
        <v>5455.04</v>
      </c>
    </row>
    <row r="2239" spans="2:7" hidden="1" outlineLevel="3">
      <c r="B2239" s="330" t="s">
        <v>3015</v>
      </c>
      <c r="C2239" s="121" t="s">
        <v>3016</v>
      </c>
      <c r="D2239" s="332" t="s">
        <v>69</v>
      </c>
      <c r="E2239" s="332">
        <v>122.55</v>
      </c>
      <c r="F2239" s="325">
        <v>20.81</v>
      </c>
      <c r="G2239" s="436">
        <f>ROUND(E2239*F2239,2)</f>
        <v>2550.27</v>
      </c>
    </row>
    <row r="2240" spans="2:7" hidden="1" outlineLevel="3">
      <c r="B2240" s="330" t="s">
        <v>3017</v>
      </c>
      <c r="C2240" s="121" t="s">
        <v>3018</v>
      </c>
      <c r="D2240" s="332" t="s">
        <v>57</v>
      </c>
      <c r="E2240" s="332">
        <v>223.9</v>
      </c>
      <c r="F2240" s="325">
        <v>27.43</v>
      </c>
      <c r="G2240" s="436">
        <f>ROUND(E2240*F2240,2)</f>
        <v>6141.58</v>
      </c>
    </row>
    <row r="2241" spans="2:7" hidden="1" outlineLevel="3">
      <c r="B2241" s="331" t="s">
        <v>3019</v>
      </c>
      <c r="C2241" s="324" t="s">
        <v>3020</v>
      </c>
      <c r="D2241" s="332"/>
      <c r="E2241" s="332"/>
      <c r="F2241" s="325"/>
      <c r="G2241" s="435">
        <f>+SUBTOTAL(9,G2242:G2246)</f>
        <v>14111.48</v>
      </c>
    </row>
    <row r="2242" spans="2:7" hidden="1" outlineLevel="3">
      <c r="B2242" s="331" t="s">
        <v>3021</v>
      </c>
      <c r="C2242" s="324" t="s">
        <v>3022</v>
      </c>
      <c r="D2242" s="332"/>
      <c r="E2242" s="332"/>
      <c r="F2242" s="325"/>
      <c r="G2242" s="435">
        <f>+SUBTOTAL(9,G2243:G2246)</f>
        <v>14111.48</v>
      </c>
    </row>
    <row r="2243" spans="2:7" ht="30" hidden="1" outlineLevel="3">
      <c r="B2243" s="330" t="s">
        <v>3023</v>
      </c>
      <c r="C2243" s="121" t="s">
        <v>3012</v>
      </c>
      <c r="D2243" s="332" t="s">
        <v>69</v>
      </c>
      <c r="E2243" s="332">
        <v>45.7</v>
      </c>
      <c r="F2243" s="325">
        <v>8.68</v>
      </c>
      <c r="G2243" s="436">
        <f>ROUND(E2243*F2243,2)</f>
        <v>396.68</v>
      </c>
    </row>
    <row r="2244" spans="2:7" hidden="1" outlineLevel="3">
      <c r="B2244" s="330" t="s">
        <v>3024</v>
      </c>
      <c r="C2244" s="121" t="s">
        <v>3014</v>
      </c>
      <c r="D2244" s="332" t="s">
        <v>69</v>
      </c>
      <c r="E2244" s="332">
        <v>45.7</v>
      </c>
      <c r="F2244" s="325">
        <v>115.72</v>
      </c>
      <c r="G2244" s="436">
        <f>ROUND(E2244*F2244,2)</f>
        <v>5288.4</v>
      </c>
    </row>
    <row r="2245" spans="2:7" hidden="1" outlineLevel="3">
      <c r="B2245" s="330" t="s">
        <v>3025</v>
      </c>
      <c r="C2245" s="121" t="s">
        <v>3016</v>
      </c>
      <c r="D2245" s="332" t="s">
        <v>69</v>
      </c>
      <c r="E2245" s="332">
        <v>118.81</v>
      </c>
      <c r="F2245" s="325">
        <v>20.81</v>
      </c>
      <c r="G2245" s="436">
        <f>ROUND(E2245*F2245,2)</f>
        <v>2472.44</v>
      </c>
    </row>
    <row r="2246" spans="2:7" hidden="1" outlineLevel="3">
      <c r="B2246" s="330" t="s">
        <v>3026</v>
      </c>
      <c r="C2246" s="121" t="s">
        <v>3018</v>
      </c>
      <c r="D2246" s="332" t="s">
        <v>57</v>
      </c>
      <c r="E2246" s="332">
        <v>217.06</v>
      </c>
      <c r="F2246" s="325">
        <v>27.43</v>
      </c>
      <c r="G2246" s="436">
        <f>ROUND(E2246*F2246,2)</f>
        <v>5953.96</v>
      </c>
    </row>
    <row r="2247" spans="2:7" hidden="1" outlineLevel="3">
      <c r="B2247" s="331" t="s">
        <v>3027</v>
      </c>
      <c r="C2247" s="324" t="s">
        <v>1600</v>
      </c>
      <c r="D2247" s="332"/>
      <c r="E2247" s="332"/>
      <c r="F2247" s="325"/>
      <c r="G2247" s="435">
        <f>+SUBTOTAL(9,G2248:G2250)</f>
        <v>309812.71999999997</v>
      </c>
    </row>
    <row r="2248" spans="2:7" hidden="1" outlineLevel="3">
      <c r="B2248" s="330" t="s">
        <v>3028</v>
      </c>
      <c r="C2248" s="121" t="s">
        <v>3029</v>
      </c>
      <c r="D2248" s="332" t="s">
        <v>43</v>
      </c>
      <c r="E2248" s="332">
        <v>1</v>
      </c>
      <c r="F2248" s="325">
        <v>252894.07999999999</v>
      </c>
      <c r="G2248" s="436">
        <f>ROUND(E2248*F2248,2)</f>
        <v>252894.07999999999</v>
      </c>
    </row>
    <row r="2249" spans="2:7" hidden="1" outlineLevel="3">
      <c r="B2249" s="330" t="s">
        <v>3030</v>
      </c>
      <c r="C2249" s="121" t="s">
        <v>3031</v>
      </c>
      <c r="D2249" s="332" t="s">
        <v>43</v>
      </c>
      <c r="E2249" s="332">
        <v>1</v>
      </c>
      <c r="F2249" s="325">
        <v>55101.1</v>
      </c>
      <c r="G2249" s="436">
        <f>ROUND(E2249*F2249,2)</f>
        <v>55101.1</v>
      </c>
    </row>
    <row r="2250" spans="2:7" hidden="1" outlineLevel="3">
      <c r="B2250" s="330" t="s">
        <v>3032</v>
      </c>
      <c r="C2250" s="121" t="s">
        <v>3033</v>
      </c>
      <c r="D2250" s="332" t="s">
        <v>43</v>
      </c>
      <c r="E2250" s="332">
        <v>1</v>
      </c>
      <c r="F2250" s="325">
        <v>1817.54</v>
      </c>
      <c r="G2250" s="436">
        <f>ROUND(E2250*F2250,2)</f>
        <v>1817.54</v>
      </c>
    </row>
    <row r="2251" spans="2:7" outlineLevel="2" collapsed="1">
      <c r="B2251" s="331" t="s">
        <v>3034</v>
      </c>
      <c r="C2251" s="324" t="s">
        <v>3035</v>
      </c>
      <c r="D2251" s="332"/>
      <c r="E2251" s="332"/>
      <c r="F2251" s="325"/>
      <c r="G2251" s="435">
        <f>+SUBTOTAL(9,G2252:G2276)</f>
        <v>1797394.88</v>
      </c>
    </row>
    <row r="2252" spans="2:7" hidden="1" outlineLevel="3">
      <c r="B2252" s="331" t="s">
        <v>3036</v>
      </c>
      <c r="C2252" s="324" t="s">
        <v>2954</v>
      </c>
      <c r="D2252" s="332"/>
      <c r="E2252" s="332"/>
      <c r="F2252" s="325"/>
      <c r="G2252" s="435">
        <f>+SUBTOTAL(9,G2253:G2254)</f>
        <v>140469.98000000001</v>
      </c>
    </row>
    <row r="2253" spans="2:7" hidden="1" outlineLevel="3">
      <c r="B2253" s="330" t="s">
        <v>3037</v>
      </c>
      <c r="C2253" s="121" t="s">
        <v>3038</v>
      </c>
      <c r="D2253" s="332" t="s">
        <v>57</v>
      </c>
      <c r="E2253" s="332">
        <v>92.97</v>
      </c>
      <c r="F2253" s="325">
        <v>160.06</v>
      </c>
      <c r="G2253" s="436">
        <f>ROUND(E2253*F2253,2)</f>
        <v>14880.78</v>
      </c>
    </row>
    <row r="2254" spans="2:7" hidden="1" outlineLevel="3">
      <c r="B2254" s="330" t="s">
        <v>3039</v>
      </c>
      <c r="C2254" s="121" t="s">
        <v>2956</v>
      </c>
      <c r="D2254" s="332" t="s">
        <v>57</v>
      </c>
      <c r="E2254" s="332">
        <v>680</v>
      </c>
      <c r="F2254" s="325">
        <v>184.69</v>
      </c>
      <c r="G2254" s="436">
        <f>ROUND(E2254*F2254,2)</f>
        <v>125589.2</v>
      </c>
    </row>
    <row r="2255" spans="2:7" hidden="1" outlineLevel="3">
      <c r="B2255" s="331" t="s">
        <v>3040</v>
      </c>
      <c r="C2255" s="324" t="s">
        <v>1585</v>
      </c>
      <c r="D2255" s="332"/>
      <c r="E2255" s="332"/>
      <c r="F2255" s="325"/>
      <c r="G2255" s="435">
        <f>+SUBTOTAL(9,G2256:G2264)</f>
        <v>1415060.5000000002</v>
      </c>
    </row>
    <row r="2256" spans="2:7" ht="30" hidden="1" outlineLevel="3">
      <c r="B2256" s="330" t="s">
        <v>3041</v>
      </c>
      <c r="C2256" s="121" t="s">
        <v>3042</v>
      </c>
      <c r="D2256" s="332" t="s">
        <v>64</v>
      </c>
      <c r="E2256" s="332">
        <v>595.51</v>
      </c>
      <c r="F2256" s="325">
        <v>561.41</v>
      </c>
      <c r="G2256" s="436">
        <f t="shared" ref="G2256:G2264" si="60">ROUND(E2256*F2256,2)</f>
        <v>334325.27</v>
      </c>
    </row>
    <row r="2257" spans="2:7" ht="30" hidden="1" outlineLevel="3">
      <c r="B2257" s="330" t="s">
        <v>3043</v>
      </c>
      <c r="C2257" s="121" t="s">
        <v>3044</v>
      </c>
      <c r="D2257" s="332" t="s">
        <v>64</v>
      </c>
      <c r="E2257" s="332">
        <v>237.94</v>
      </c>
      <c r="F2257" s="325">
        <v>582.91999999999996</v>
      </c>
      <c r="G2257" s="436">
        <f t="shared" si="60"/>
        <v>138699.98000000001</v>
      </c>
    </row>
    <row r="2258" spans="2:7" ht="30" hidden="1" outlineLevel="3">
      <c r="B2258" s="330" t="s">
        <v>3045</v>
      </c>
      <c r="C2258" s="121" t="s">
        <v>3046</v>
      </c>
      <c r="D2258" s="332" t="s">
        <v>64</v>
      </c>
      <c r="E2258" s="332">
        <v>139.66</v>
      </c>
      <c r="F2258" s="325">
        <v>1423.98</v>
      </c>
      <c r="G2258" s="436">
        <f t="shared" si="60"/>
        <v>198873.05</v>
      </c>
    </row>
    <row r="2259" spans="2:7" ht="30" hidden="1" outlineLevel="3">
      <c r="B2259" s="330" t="s">
        <v>3047</v>
      </c>
      <c r="C2259" s="121" t="s">
        <v>3048</v>
      </c>
      <c r="D2259" s="332" t="s">
        <v>64</v>
      </c>
      <c r="E2259" s="332">
        <v>80.69</v>
      </c>
      <c r="F2259" s="325">
        <v>566.36</v>
      </c>
      <c r="G2259" s="436">
        <f t="shared" si="60"/>
        <v>45699.59</v>
      </c>
    </row>
    <row r="2260" spans="2:7" ht="30" hidden="1" outlineLevel="3">
      <c r="B2260" s="330" t="s">
        <v>3049</v>
      </c>
      <c r="C2260" s="121" t="s">
        <v>3050</v>
      </c>
      <c r="D2260" s="332" t="s">
        <v>64</v>
      </c>
      <c r="E2260" s="332">
        <v>96.06</v>
      </c>
      <c r="F2260" s="325">
        <v>587.87</v>
      </c>
      <c r="G2260" s="436">
        <f t="shared" si="60"/>
        <v>56470.79</v>
      </c>
    </row>
    <row r="2261" spans="2:7" ht="30" hidden="1" outlineLevel="3">
      <c r="B2261" s="330" t="s">
        <v>3051</v>
      </c>
      <c r="C2261" s="121" t="s">
        <v>3052</v>
      </c>
      <c r="D2261" s="332" t="s">
        <v>64</v>
      </c>
      <c r="E2261" s="332">
        <v>70.2</v>
      </c>
      <c r="F2261" s="325">
        <v>585.48</v>
      </c>
      <c r="G2261" s="436">
        <f t="shared" si="60"/>
        <v>41100.699999999997</v>
      </c>
    </row>
    <row r="2262" spans="2:7" ht="30" hidden="1" outlineLevel="3">
      <c r="B2262" s="330" t="s">
        <v>3053</v>
      </c>
      <c r="C2262" s="121" t="s">
        <v>3054</v>
      </c>
      <c r="D2262" s="332" t="s">
        <v>64</v>
      </c>
      <c r="E2262" s="332">
        <v>223.82</v>
      </c>
      <c r="F2262" s="325">
        <v>1426.53</v>
      </c>
      <c r="G2262" s="436">
        <f t="shared" si="60"/>
        <v>319285.94</v>
      </c>
    </row>
    <row r="2263" spans="2:7" ht="30" hidden="1" outlineLevel="3">
      <c r="B2263" s="330" t="s">
        <v>3055</v>
      </c>
      <c r="C2263" s="121" t="s">
        <v>3056</v>
      </c>
      <c r="D2263" s="332" t="s">
        <v>1872</v>
      </c>
      <c r="E2263" s="332">
        <v>1</v>
      </c>
      <c r="F2263" s="325">
        <v>182884.32</v>
      </c>
      <c r="G2263" s="436">
        <f t="shared" si="60"/>
        <v>182884.32</v>
      </c>
    </row>
    <row r="2264" spans="2:7" hidden="1" outlineLevel="3">
      <c r="B2264" s="330" t="s">
        <v>3057</v>
      </c>
      <c r="C2264" s="121" t="s">
        <v>3058</v>
      </c>
      <c r="D2264" s="332" t="s">
        <v>1872</v>
      </c>
      <c r="E2264" s="332">
        <v>1</v>
      </c>
      <c r="F2264" s="325">
        <v>97720.86</v>
      </c>
      <c r="G2264" s="436">
        <f t="shared" si="60"/>
        <v>97720.86</v>
      </c>
    </row>
    <row r="2265" spans="2:7" hidden="1" outlineLevel="3">
      <c r="B2265" s="331" t="s">
        <v>3059</v>
      </c>
      <c r="C2265" s="324" t="s">
        <v>2977</v>
      </c>
      <c r="D2265" s="332"/>
      <c r="E2265" s="332"/>
      <c r="F2265" s="325"/>
      <c r="G2265" s="435">
        <f>+SUBTOTAL(9,G2266:G2274)</f>
        <v>240153.51999999996</v>
      </c>
    </row>
    <row r="2266" spans="2:7" hidden="1" outlineLevel="3">
      <c r="B2266" s="331" t="s">
        <v>3060</v>
      </c>
      <c r="C2266" s="324" t="s">
        <v>2979</v>
      </c>
      <c r="D2266" s="332"/>
      <c r="E2266" s="332"/>
      <c r="F2266" s="325"/>
      <c r="G2266" s="435">
        <f>+SUBTOTAL(9,G2267:G2268)</f>
        <v>145415.57999999999</v>
      </c>
    </row>
    <row r="2267" spans="2:7" hidden="1" outlineLevel="3">
      <c r="B2267" s="330" t="s">
        <v>3061</v>
      </c>
      <c r="C2267" s="121" t="s">
        <v>3062</v>
      </c>
      <c r="D2267" s="332" t="s">
        <v>43</v>
      </c>
      <c r="E2267" s="332">
        <v>10</v>
      </c>
      <c r="F2267" s="325">
        <v>10137.870000000001</v>
      </c>
      <c r="G2267" s="436">
        <f>ROUND(E2267*F2267,2)</f>
        <v>101378.7</v>
      </c>
    </row>
    <row r="2268" spans="2:7" hidden="1" outlineLevel="3">
      <c r="B2268" s="330" t="s">
        <v>3063</v>
      </c>
      <c r="C2268" s="121" t="s">
        <v>3064</v>
      </c>
      <c r="D2268" s="332" t="s">
        <v>43</v>
      </c>
      <c r="E2268" s="332">
        <v>4</v>
      </c>
      <c r="F2268" s="325">
        <v>11009.22</v>
      </c>
      <c r="G2268" s="436">
        <f>ROUND(E2268*F2268,2)</f>
        <v>44036.88</v>
      </c>
    </row>
    <row r="2269" spans="2:7" hidden="1" outlineLevel="3">
      <c r="B2269" s="331" t="s">
        <v>3065</v>
      </c>
      <c r="C2269" s="324" t="s">
        <v>2985</v>
      </c>
      <c r="D2269" s="332"/>
      <c r="E2269" s="332"/>
      <c r="F2269" s="325"/>
      <c r="G2269" s="435">
        <f>+SUBTOTAL(9,G2270:G2274)</f>
        <v>94737.94</v>
      </c>
    </row>
    <row r="2270" spans="2:7" hidden="1" outlineLevel="3">
      <c r="B2270" s="330" t="s">
        <v>3066</v>
      </c>
      <c r="C2270" s="121" t="s">
        <v>2987</v>
      </c>
      <c r="D2270" s="332" t="s">
        <v>43</v>
      </c>
      <c r="E2270" s="332">
        <v>2</v>
      </c>
      <c r="F2270" s="325">
        <v>6141.12</v>
      </c>
      <c r="G2270" s="436">
        <f>ROUND(E2270*F2270,2)</f>
        <v>12282.24</v>
      </c>
    </row>
    <row r="2271" spans="2:7" hidden="1" outlineLevel="3">
      <c r="B2271" s="330" t="s">
        <v>3067</v>
      </c>
      <c r="C2271" s="121" t="s">
        <v>3068</v>
      </c>
      <c r="D2271" s="332" t="s">
        <v>43</v>
      </c>
      <c r="E2271" s="332">
        <v>3</v>
      </c>
      <c r="F2271" s="325">
        <v>6348.82</v>
      </c>
      <c r="G2271" s="436">
        <f>ROUND(E2271*F2271,2)</f>
        <v>19046.46</v>
      </c>
    </row>
    <row r="2272" spans="2:7" hidden="1" outlineLevel="3">
      <c r="B2272" s="330" t="s">
        <v>3069</v>
      </c>
      <c r="C2272" s="121" t="s">
        <v>3070</v>
      </c>
      <c r="D2272" s="332" t="s">
        <v>43</v>
      </c>
      <c r="E2272" s="332">
        <v>5</v>
      </c>
      <c r="F2272" s="325">
        <v>7223.86</v>
      </c>
      <c r="G2272" s="436">
        <f>ROUND(E2272*F2272,2)</f>
        <v>36119.300000000003</v>
      </c>
    </row>
    <row r="2273" spans="2:7" hidden="1" outlineLevel="3">
      <c r="B2273" s="330" t="s">
        <v>3071</v>
      </c>
      <c r="C2273" s="121" t="s">
        <v>2989</v>
      </c>
      <c r="D2273" s="332" t="s">
        <v>43</v>
      </c>
      <c r="E2273" s="332">
        <v>2</v>
      </c>
      <c r="F2273" s="325">
        <v>6709.4</v>
      </c>
      <c r="G2273" s="436">
        <f>ROUND(E2273*F2273,2)</f>
        <v>13418.8</v>
      </c>
    </row>
    <row r="2274" spans="2:7" hidden="1" outlineLevel="3">
      <c r="B2274" s="330" t="s">
        <v>3072</v>
      </c>
      <c r="C2274" s="121" t="s">
        <v>3073</v>
      </c>
      <c r="D2274" s="332" t="s">
        <v>43</v>
      </c>
      <c r="E2274" s="332">
        <v>2</v>
      </c>
      <c r="F2274" s="325">
        <v>6935.57</v>
      </c>
      <c r="G2274" s="436">
        <f>ROUND(E2274*F2274,2)</f>
        <v>13871.14</v>
      </c>
    </row>
    <row r="2275" spans="2:7" hidden="1" outlineLevel="3">
      <c r="B2275" s="331" t="s">
        <v>3074</v>
      </c>
      <c r="C2275" s="324" t="s">
        <v>1600</v>
      </c>
      <c r="D2275" s="332"/>
      <c r="E2275" s="332"/>
      <c r="F2275" s="325"/>
      <c r="G2275" s="435">
        <f>+SUBTOTAL(9,G2276)</f>
        <v>1710.88</v>
      </c>
    </row>
    <row r="2276" spans="2:7" hidden="1" outlineLevel="3">
      <c r="B2276" s="330" t="s">
        <v>3075</v>
      </c>
      <c r="C2276" s="121" t="s">
        <v>3076</v>
      </c>
      <c r="D2276" s="332" t="s">
        <v>43</v>
      </c>
      <c r="E2276" s="332">
        <v>1</v>
      </c>
      <c r="F2276" s="325">
        <v>1710.88</v>
      </c>
      <c r="G2276" s="436">
        <f>ROUND(E2276*F2276,2)</f>
        <v>1710.88</v>
      </c>
    </row>
    <row r="2277" spans="2:7" outlineLevel="2" collapsed="1">
      <c r="B2277" s="331" t="s">
        <v>3077</v>
      </c>
      <c r="C2277" s="324" t="s">
        <v>3078</v>
      </c>
      <c r="D2277" s="332"/>
      <c r="E2277" s="332"/>
      <c r="F2277" s="325"/>
      <c r="G2277" s="435">
        <f>+SUBTOTAL(9,G2278:G2293)</f>
        <v>1155700.49</v>
      </c>
    </row>
    <row r="2278" spans="2:7" hidden="1" outlineLevel="3">
      <c r="B2278" s="331" t="s">
        <v>3079</v>
      </c>
      <c r="C2278" s="324" t="s">
        <v>1585</v>
      </c>
      <c r="D2278" s="332"/>
      <c r="E2278" s="332"/>
      <c r="F2278" s="325"/>
      <c r="G2278" s="435">
        <f>+SUBTOTAL(9,G2279:G2285)</f>
        <v>1093508.96</v>
      </c>
    </row>
    <row r="2279" spans="2:7" hidden="1" outlineLevel="3">
      <c r="B2279" s="330" t="s">
        <v>3080</v>
      </c>
      <c r="C2279" s="121" t="s">
        <v>3081</v>
      </c>
      <c r="D2279" s="332" t="s">
        <v>64</v>
      </c>
      <c r="E2279" s="332">
        <v>117.33</v>
      </c>
      <c r="F2279" s="325">
        <v>218.83</v>
      </c>
      <c r="G2279" s="436">
        <f t="shared" ref="G2279:G2285" si="61">ROUND(E2279*F2279,2)</f>
        <v>25675.32</v>
      </c>
    </row>
    <row r="2280" spans="2:7" hidden="1" outlineLevel="3">
      <c r="B2280" s="330" t="s">
        <v>3082</v>
      </c>
      <c r="C2280" s="121" t="s">
        <v>3083</v>
      </c>
      <c r="D2280" s="332" t="s">
        <v>64</v>
      </c>
      <c r="E2280" s="332">
        <v>570.87</v>
      </c>
      <c r="F2280" s="325">
        <v>903.75</v>
      </c>
      <c r="G2280" s="436">
        <f t="shared" si="61"/>
        <v>515923.76</v>
      </c>
    </row>
    <row r="2281" spans="2:7" ht="30" hidden="1" outlineLevel="3">
      <c r="B2281" s="330" t="s">
        <v>3084</v>
      </c>
      <c r="C2281" s="121" t="s">
        <v>3085</v>
      </c>
      <c r="D2281" s="332" t="s">
        <v>64</v>
      </c>
      <c r="E2281" s="332">
        <v>49.34</v>
      </c>
      <c r="F2281" s="325">
        <v>956.15</v>
      </c>
      <c r="G2281" s="436">
        <f t="shared" si="61"/>
        <v>47176.44</v>
      </c>
    </row>
    <row r="2282" spans="2:7" ht="30" hidden="1" outlineLevel="3">
      <c r="B2282" s="330" t="s">
        <v>3086</v>
      </c>
      <c r="C2282" s="121" t="s">
        <v>3087</v>
      </c>
      <c r="D2282" s="332" t="s">
        <v>64</v>
      </c>
      <c r="E2282" s="332">
        <v>67.05</v>
      </c>
      <c r="F2282" s="325">
        <v>269.31</v>
      </c>
      <c r="G2282" s="436">
        <f t="shared" si="61"/>
        <v>18057.240000000002</v>
      </c>
    </row>
    <row r="2283" spans="2:7" ht="30" hidden="1" outlineLevel="3">
      <c r="B2283" s="330" t="s">
        <v>3088</v>
      </c>
      <c r="C2283" s="121" t="s">
        <v>3089</v>
      </c>
      <c r="D2283" s="332" t="s">
        <v>64</v>
      </c>
      <c r="E2283" s="332">
        <v>439.19</v>
      </c>
      <c r="F2283" s="325">
        <v>954.22</v>
      </c>
      <c r="G2283" s="436">
        <f t="shared" si="61"/>
        <v>419083.88</v>
      </c>
    </row>
    <row r="2284" spans="2:7" hidden="1" outlineLevel="3">
      <c r="B2284" s="330" t="s">
        <v>3090</v>
      </c>
      <c r="C2284" s="121" t="s">
        <v>3091</v>
      </c>
      <c r="D2284" s="332" t="s">
        <v>1872</v>
      </c>
      <c r="E2284" s="332">
        <v>1</v>
      </c>
      <c r="F2284" s="325">
        <v>41106.44</v>
      </c>
      <c r="G2284" s="436">
        <f t="shared" si="61"/>
        <v>41106.44</v>
      </c>
    </row>
    <row r="2285" spans="2:7" ht="30" hidden="1" outlineLevel="3">
      <c r="B2285" s="330" t="s">
        <v>3092</v>
      </c>
      <c r="C2285" s="121" t="s">
        <v>3093</v>
      </c>
      <c r="D2285" s="332" t="s">
        <v>1872</v>
      </c>
      <c r="E2285" s="332">
        <v>1</v>
      </c>
      <c r="F2285" s="325">
        <v>26485.88</v>
      </c>
      <c r="G2285" s="436">
        <f t="shared" si="61"/>
        <v>26485.88</v>
      </c>
    </row>
    <row r="2286" spans="2:7" hidden="1" outlineLevel="3">
      <c r="B2286" s="331" t="s">
        <v>3094</v>
      </c>
      <c r="C2286" s="324" t="s">
        <v>2977</v>
      </c>
      <c r="D2286" s="332"/>
      <c r="E2286" s="332"/>
      <c r="F2286" s="325"/>
      <c r="G2286" s="435">
        <f>+SUBTOTAL(9,G2287:G2293)</f>
        <v>62191.530000000006</v>
      </c>
    </row>
    <row r="2287" spans="2:7" hidden="1" outlineLevel="3">
      <c r="B2287" s="331" t="s">
        <v>3095</v>
      </c>
      <c r="C2287" s="324" t="s">
        <v>2979</v>
      </c>
      <c r="D2287" s="332"/>
      <c r="E2287" s="332"/>
      <c r="F2287" s="325"/>
      <c r="G2287" s="435">
        <f>+SUBTOTAL(9,G2288:G2289)</f>
        <v>25816.66</v>
      </c>
    </row>
    <row r="2288" spans="2:7" hidden="1" outlineLevel="3">
      <c r="B2288" s="330" t="s">
        <v>3096</v>
      </c>
      <c r="C2288" s="121" t="s">
        <v>3097</v>
      </c>
      <c r="D2288" s="332" t="s">
        <v>43</v>
      </c>
      <c r="E2288" s="332">
        <v>3</v>
      </c>
      <c r="F2288" s="325">
        <v>5034.58</v>
      </c>
      <c r="G2288" s="436">
        <f>ROUND(E2288*F2288,2)</f>
        <v>15103.74</v>
      </c>
    </row>
    <row r="2289" spans="2:7" hidden="1" outlineLevel="3">
      <c r="B2289" s="330" t="s">
        <v>3098</v>
      </c>
      <c r="C2289" s="121" t="s">
        <v>3099</v>
      </c>
      <c r="D2289" s="332" t="s">
        <v>43</v>
      </c>
      <c r="E2289" s="332">
        <v>2</v>
      </c>
      <c r="F2289" s="325">
        <v>5356.46</v>
      </c>
      <c r="G2289" s="436">
        <f>ROUND(E2289*F2289,2)</f>
        <v>10712.92</v>
      </c>
    </row>
    <row r="2290" spans="2:7" hidden="1" outlineLevel="3">
      <c r="B2290" s="331" t="s">
        <v>3100</v>
      </c>
      <c r="C2290" s="324" t="s">
        <v>2985</v>
      </c>
      <c r="D2290" s="332"/>
      <c r="E2290" s="332"/>
      <c r="F2290" s="325"/>
      <c r="G2290" s="435">
        <f>+SUBTOTAL(9,G2291:G2293)</f>
        <v>36374.870000000003</v>
      </c>
    </row>
    <row r="2291" spans="2:7" hidden="1" outlineLevel="3">
      <c r="B2291" s="330" t="s">
        <v>3101</v>
      </c>
      <c r="C2291" s="121" t="s">
        <v>3070</v>
      </c>
      <c r="D2291" s="332" t="s">
        <v>43</v>
      </c>
      <c r="E2291" s="332">
        <v>3</v>
      </c>
      <c r="F2291" s="325">
        <v>7223.86</v>
      </c>
      <c r="G2291" s="436">
        <f>ROUND(E2291*F2291,2)</f>
        <v>21671.58</v>
      </c>
    </row>
    <row r="2292" spans="2:7" hidden="1" outlineLevel="3">
      <c r="B2292" s="330" t="s">
        <v>3102</v>
      </c>
      <c r="C2292" s="121" t="s">
        <v>3073</v>
      </c>
      <c r="D2292" s="332" t="s">
        <v>43</v>
      </c>
      <c r="E2292" s="332">
        <v>1</v>
      </c>
      <c r="F2292" s="325">
        <v>6935.57</v>
      </c>
      <c r="G2292" s="436">
        <f>ROUND(E2292*F2292,2)</f>
        <v>6935.57</v>
      </c>
    </row>
    <row r="2293" spans="2:7" hidden="1" outlineLevel="3">
      <c r="B2293" s="330" t="s">
        <v>3103</v>
      </c>
      <c r="C2293" s="121" t="s">
        <v>3104</v>
      </c>
      <c r="D2293" s="332" t="s">
        <v>43</v>
      </c>
      <c r="E2293" s="332">
        <v>1</v>
      </c>
      <c r="F2293" s="325">
        <v>7767.72</v>
      </c>
      <c r="G2293" s="436">
        <f>ROUND(E2293*F2293,2)</f>
        <v>7767.72</v>
      </c>
    </row>
    <row r="2294" spans="2:7" outlineLevel="2" collapsed="1">
      <c r="B2294" s="331" t="s">
        <v>3105</v>
      </c>
      <c r="C2294" s="324" t="s">
        <v>3106</v>
      </c>
      <c r="D2294" s="332"/>
      <c r="E2294" s="332"/>
      <c r="F2294" s="325"/>
      <c r="G2294" s="435">
        <f>+SUBTOTAL(9,G2295:G2327)</f>
        <v>1035259.4099999997</v>
      </c>
    </row>
    <row r="2295" spans="2:7" hidden="1" outlineLevel="3">
      <c r="B2295" s="331" t="s">
        <v>3107</v>
      </c>
      <c r="C2295" s="324" t="s">
        <v>2954</v>
      </c>
      <c r="D2295" s="332"/>
      <c r="E2295" s="332"/>
      <c r="F2295" s="325"/>
      <c r="G2295" s="435">
        <f>+SUBTOTAL(9,G2296)</f>
        <v>179647.96</v>
      </c>
    </row>
    <row r="2296" spans="2:7" hidden="1" outlineLevel="3">
      <c r="B2296" s="330" t="s">
        <v>3108</v>
      </c>
      <c r="C2296" s="121" t="s">
        <v>2956</v>
      </c>
      <c r="D2296" s="332" t="s">
        <v>57</v>
      </c>
      <c r="E2296" s="332">
        <v>972.7</v>
      </c>
      <c r="F2296" s="325">
        <v>184.69</v>
      </c>
      <c r="G2296" s="436">
        <f>ROUND(E2296*F2296,2)</f>
        <v>179647.96</v>
      </c>
    </row>
    <row r="2297" spans="2:7" hidden="1" outlineLevel="3">
      <c r="B2297" s="331" t="s">
        <v>3109</v>
      </c>
      <c r="C2297" s="324" t="s">
        <v>1585</v>
      </c>
      <c r="D2297" s="332"/>
      <c r="E2297" s="332"/>
      <c r="F2297" s="325"/>
      <c r="G2297" s="435">
        <f>+SUBTOTAL(9,G2298:G2316)</f>
        <v>751569.86999999988</v>
      </c>
    </row>
    <row r="2298" spans="2:7" ht="30" hidden="1" outlineLevel="3">
      <c r="B2298" s="330" t="s">
        <v>3110</v>
      </c>
      <c r="C2298" s="121" t="s">
        <v>3111</v>
      </c>
      <c r="D2298" s="332" t="s">
        <v>64</v>
      </c>
      <c r="E2298" s="332">
        <v>2.9</v>
      </c>
      <c r="F2298" s="325">
        <v>351.4</v>
      </c>
      <c r="G2298" s="436">
        <f t="shared" ref="G2298:G2316" si="62">ROUND(E2298*F2298,2)</f>
        <v>1019.06</v>
      </c>
    </row>
    <row r="2299" spans="2:7" ht="30" hidden="1" outlineLevel="3">
      <c r="B2299" s="330" t="s">
        <v>3112</v>
      </c>
      <c r="C2299" s="121" t="s">
        <v>3113</v>
      </c>
      <c r="D2299" s="332" t="s">
        <v>64</v>
      </c>
      <c r="E2299" s="332">
        <v>71.69</v>
      </c>
      <c r="F2299" s="325">
        <v>876</v>
      </c>
      <c r="G2299" s="436">
        <f t="shared" si="62"/>
        <v>62800.44</v>
      </c>
    </row>
    <row r="2300" spans="2:7" ht="30" hidden="1" outlineLevel="3">
      <c r="B2300" s="330" t="s">
        <v>3114</v>
      </c>
      <c r="C2300" s="121" t="s">
        <v>3115</v>
      </c>
      <c r="D2300" s="332" t="s">
        <v>64</v>
      </c>
      <c r="E2300" s="332">
        <v>997.57</v>
      </c>
      <c r="F2300" s="325">
        <v>287.89999999999998</v>
      </c>
      <c r="G2300" s="436">
        <f t="shared" si="62"/>
        <v>287200.40000000002</v>
      </c>
    </row>
    <row r="2301" spans="2:7" ht="30" hidden="1" outlineLevel="3">
      <c r="B2301" s="330" t="s">
        <v>3116</v>
      </c>
      <c r="C2301" s="121" t="s">
        <v>3117</v>
      </c>
      <c r="D2301" s="332" t="s">
        <v>64</v>
      </c>
      <c r="E2301" s="332">
        <v>3.38</v>
      </c>
      <c r="F2301" s="325">
        <v>269.38</v>
      </c>
      <c r="G2301" s="436">
        <f t="shared" si="62"/>
        <v>910.5</v>
      </c>
    </row>
    <row r="2302" spans="2:7" ht="30" hidden="1" outlineLevel="3">
      <c r="B2302" s="330" t="s">
        <v>3118</v>
      </c>
      <c r="C2302" s="121" t="s">
        <v>3119</v>
      </c>
      <c r="D2302" s="332" t="s">
        <v>64</v>
      </c>
      <c r="E2302" s="332">
        <v>12.76</v>
      </c>
      <c r="F2302" s="325">
        <v>277.82</v>
      </c>
      <c r="G2302" s="436">
        <f t="shared" si="62"/>
        <v>3544.98</v>
      </c>
    </row>
    <row r="2303" spans="2:7" ht="30" hidden="1" outlineLevel="3">
      <c r="B2303" s="330" t="s">
        <v>3120</v>
      </c>
      <c r="C2303" s="121" t="s">
        <v>3121</v>
      </c>
      <c r="D2303" s="332" t="s">
        <v>64</v>
      </c>
      <c r="E2303" s="332">
        <v>28.7</v>
      </c>
      <c r="F2303" s="325">
        <v>293.87</v>
      </c>
      <c r="G2303" s="436">
        <f t="shared" si="62"/>
        <v>8434.07</v>
      </c>
    </row>
    <row r="2304" spans="2:7" ht="30" hidden="1" outlineLevel="3">
      <c r="B2304" s="330" t="s">
        <v>3122</v>
      </c>
      <c r="C2304" s="121" t="s">
        <v>3123</v>
      </c>
      <c r="D2304" s="332" t="s">
        <v>64</v>
      </c>
      <c r="E2304" s="332">
        <v>5.31</v>
      </c>
      <c r="F2304" s="325">
        <v>616.88</v>
      </c>
      <c r="G2304" s="436">
        <f t="shared" si="62"/>
        <v>3275.63</v>
      </c>
    </row>
    <row r="2305" spans="2:7" ht="30" hidden="1" outlineLevel="3">
      <c r="B2305" s="330" t="s">
        <v>3124</v>
      </c>
      <c r="C2305" s="121" t="s">
        <v>3125</v>
      </c>
      <c r="D2305" s="332" t="s">
        <v>64</v>
      </c>
      <c r="E2305" s="332">
        <v>48.2</v>
      </c>
      <c r="F2305" s="325">
        <v>182.3</v>
      </c>
      <c r="G2305" s="436">
        <f t="shared" si="62"/>
        <v>8786.86</v>
      </c>
    </row>
    <row r="2306" spans="2:7" ht="30" hidden="1" outlineLevel="3">
      <c r="B2306" s="330" t="s">
        <v>3126</v>
      </c>
      <c r="C2306" s="121" t="s">
        <v>3127</v>
      </c>
      <c r="D2306" s="332" t="s">
        <v>64</v>
      </c>
      <c r="E2306" s="332">
        <v>22.02</v>
      </c>
      <c r="F2306" s="325">
        <v>420.05</v>
      </c>
      <c r="G2306" s="436">
        <f t="shared" si="62"/>
        <v>9249.5</v>
      </c>
    </row>
    <row r="2307" spans="2:7" ht="30" hidden="1" outlineLevel="3">
      <c r="B2307" s="330" t="s">
        <v>3128</v>
      </c>
      <c r="C2307" s="121" t="s">
        <v>3129</v>
      </c>
      <c r="D2307" s="332" t="s">
        <v>64</v>
      </c>
      <c r="E2307" s="332">
        <v>58.79</v>
      </c>
      <c r="F2307" s="325">
        <v>944.64</v>
      </c>
      <c r="G2307" s="436">
        <f t="shared" si="62"/>
        <v>55535.39</v>
      </c>
    </row>
    <row r="2308" spans="2:7" ht="30" hidden="1" outlineLevel="3">
      <c r="B2308" s="330" t="s">
        <v>3130</v>
      </c>
      <c r="C2308" s="121" t="s">
        <v>3131</v>
      </c>
      <c r="D2308" s="332" t="s">
        <v>64</v>
      </c>
      <c r="E2308" s="332">
        <v>14.61</v>
      </c>
      <c r="F2308" s="325">
        <v>347.86</v>
      </c>
      <c r="G2308" s="436">
        <f t="shared" si="62"/>
        <v>5082.2299999999996</v>
      </c>
    </row>
    <row r="2309" spans="2:7" ht="30" hidden="1" outlineLevel="3">
      <c r="B2309" s="330" t="s">
        <v>3132</v>
      </c>
      <c r="C2309" s="121" t="s">
        <v>3133</v>
      </c>
      <c r="D2309" s="332" t="s">
        <v>64</v>
      </c>
      <c r="E2309" s="332">
        <v>425.8</v>
      </c>
      <c r="F2309" s="325">
        <v>365.36</v>
      </c>
      <c r="G2309" s="436">
        <f t="shared" si="62"/>
        <v>155570.29</v>
      </c>
    </row>
    <row r="2310" spans="2:7" ht="30" hidden="1" outlineLevel="3">
      <c r="B2310" s="330" t="s">
        <v>3134</v>
      </c>
      <c r="C2310" s="121" t="s">
        <v>3135</v>
      </c>
      <c r="D2310" s="332" t="s">
        <v>64</v>
      </c>
      <c r="E2310" s="332">
        <v>17.62</v>
      </c>
      <c r="F2310" s="325">
        <v>346.82</v>
      </c>
      <c r="G2310" s="436">
        <f t="shared" si="62"/>
        <v>6110.97</v>
      </c>
    </row>
    <row r="2311" spans="2:7" ht="30" hidden="1" outlineLevel="3">
      <c r="B2311" s="330" t="s">
        <v>3136</v>
      </c>
      <c r="C2311" s="121" t="s">
        <v>3137</v>
      </c>
      <c r="D2311" s="332" t="s">
        <v>64</v>
      </c>
      <c r="E2311" s="332">
        <v>22.03</v>
      </c>
      <c r="F2311" s="325">
        <v>371.31</v>
      </c>
      <c r="G2311" s="436">
        <f t="shared" si="62"/>
        <v>8179.96</v>
      </c>
    </row>
    <row r="2312" spans="2:7" ht="30" hidden="1" outlineLevel="3">
      <c r="B2312" s="330" t="s">
        <v>3138</v>
      </c>
      <c r="C2312" s="121" t="s">
        <v>3139</v>
      </c>
      <c r="D2312" s="332" t="s">
        <v>64</v>
      </c>
      <c r="E2312" s="332">
        <v>28.47</v>
      </c>
      <c r="F2312" s="325">
        <v>759.41</v>
      </c>
      <c r="G2312" s="436">
        <f t="shared" si="62"/>
        <v>21620.400000000001</v>
      </c>
    </row>
    <row r="2313" spans="2:7" ht="30" hidden="1" outlineLevel="3">
      <c r="B2313" s="330" t="s">
        <v>3140</v>
      </c>
      <c r="C2313" s="121" t="s">
        <v>3141</v>
      </c>
      <c r="D2313" s="332" t="s">
        <v>64</v>
      </c>
      <c r="E2313" s="332">
        <v>50.87</v>
      </c>
      <c r="F2313" s="325">
        <v>250.42</v>
      </c>
      <c r="G2313" s="436">
        <f t="shared" si="62"/>
        <v>12738.87</v>
      </c>
    </row>
    <row r="2314" spans="2:7" ht="30" hidden="1" outlineLevel="3">
      <c r="B2314" s="330" t="s">
        <v>3142</v>
      </c>
      <c r="C2314" s="121" t="s">
        <v>3143</v>
      </c>
      <c r="D2314" s="332" t="s">
        <v>64</v>
      </c>
      <c r="E2314" s="332">
        <v>40.98</v>
      </c>
      <c r="F2314" s="325">
        <v>423.28</v>
      </c>
      <c r="G2314" s="436">
        <f t="shared" si="62"/>
        <v>17346.009999999998</v>
      </c>
    </row>
    <row r="2315" spans="2:7" hidden="1" outlineLevel="3">
      <c r="B2315" s="330" t="s">
        <v>3144</v>
      </c>
      <c r="C2315" s="121" t="s">
        <v>3145</v>
      </c>
      <c r="D2315" s="332" t="s">
        <v>1872</v>
      </c>
      <c r="E2315" s="332">
        <v>1</v>
      </c>
      <c r="F2315" s="325">
        <v>24088.57</v>
      </c>
      <c r="G2315" s="436">
        <f t="shared" si="62"/>
        <v>24088.57</v>
      </c>
    </row>
    <row r="2316" spans="2:7" hidden="1" outlineLevel="3">
      <c r="B2316" s="330" t="s">
        <v>3146</v>
      </c>
      <c r="C2316" s="121" t="s">
        <v>3147</v>
      </c>
      <c r="D2316" s="332" t="s">
        <v>1872</v>
      </c>
      <c r="E2316" s="332">
        <v>1</v>
      </c>
      <c r="F2316" s="325">
        <v>60075.74</v>
      </c>
      <c r="G2316" s="436">
        <f t="shared" si="62"/>
        <v>60075.74</v>
      </c>
    </row>
    <row r="2317" spans="2:7" hidden="1" outlineLevel="3">
      <c r="B2317" s="331" t="s">
        <v>3148</v>
      </c>
      <c r="C2317" s="324" t="s">
        <v>2977</v>
      </c>
      <c r="D2317" s="332"/>
      <c r="E2317" s="332"/>
      <c r="F2317" s="325"/>
      <c r="G2317" s="435">
        <f>+SUBTOTAL(9,G2318:G2325)</f>
        <v>100991.18</v>
      </c>
    </row>
    <row r="2318" spans="2:7" hidden="1" outlineLevel="3">
      <c r="B2318" s="331" t="s">
        <v>3149</v>
      </c>
      <c r="C2318" s="324" t="s">
        <v>2979</v>
      </c>
      <c r="D2318" s="332"/>
      <c r="E2318" s="332"/>
      <c r="F2318" s="325"/>
      <c r="G2318" s="435">
        <f>+SUBTOTAL(9,G2319:G2322)</f>
        <v>49589.1</v>
      </c>
    </row>
    <row r="2319" spans="2:7" hidden="1" outlineLevel="3">
      <c r="B2319" s="330" t="s">
        <v>3150</v>
      </c>
      <c r="C2319" s="121" t="s">
        <v>3151</v>
      </c>
      <c r="D2319" s="332" t="s">
        <v>43</v>
      </c>
      <c r="E2319" s="332">
        <v>1</v>
      </c>
      <c r="F2319" s="325">
        <v>2452.6999999999998</v>
      </c>
      <c r="G2319" s="436">
        <f>ROUND(E2319*F2319,2)</f>
        <v>2452.6999999999998</v>
      </c>
    </row>
    <row r="2320" spans="2:7" hidden="1" outlineLevel="3">
      <c r="B2320" s="330" t="s">
        <v>3152</v>
      </c>
      <c r="C2320" s="121" t="s">
        <v>3153</v>
      </c>
      <c r="D2320" s="332" t="s">
        <v>43</v>
      </c>
      <c r="E2320" s="332">
        <v>1</v>
      </c>
      <c r="F2320" s="325">
        <v>2117.3200000000002</v>
      </c>
      <c r="G2320" s="436">
        <f>ROUND(E2320*F2320,2)</f>
        <v>2117.3200000000002</v>
      </c>
    </row>
    <row r="2321" spans="2:7" hidden="1" outlineLevel="3">
      <c r="B2321" s="330" t="s">
        <v>3154</v>
      </c>
      <c r="C2321" s="121" t="s">
        <v>3155</v>
      </c>
      <c r="D2321" s="332" t="s">
        <v>43</v>
      </c>
      <c r="E2321" s="332">
        <v>4</v>
      </c>
      <c r="F2321" s="325">
        <v>5816.16</v>
      </c>
      <c r="G2321" s="436">
        <f>ROUND(E2321*F2321,2)</f>
        <v>23264.639999999999</v>
      </c>
    </row>
    <row r="2322" spans="2:7" hidden="1" outlineLevel="3">
      <c r="B2322" s="330" t="s">
        <v>3156</v>
      </c>
      <c r="C2322" s="121" t="s">
        <v>3157</v>
      </c>
      <c r="D2322" s="332" t="s">
        <v>43</v>
      </c>
      <c r="E2322" s="332">
        <v>4</v>
      </c>
      <c r="F2322" s="325">
        <v>5438.61</v>
      </c>
      <c r="G2322" s="436">
        <f>ROUND(E2322*F2322,2)</f>
        <v>21754.44</v>
      </c>
    </row>
    <row r="2323" spans="2:7" hidden="1" outlineLevel="3">
      <c r="B2323" s="331" t="s">
        <v>3158</v>
      </c>
      <c r="C2323" s="324" t="s">
        <v>2985</v>
      </c>
      <c r="D2323" s="332"/>
      <c r="E2323" s="332"/>
      <c r="F2323" s="325"/>
      <c r="G2323" s="435">
        <f>+SUBTOTAL(9,G2324:G2325)</f>
        <v>51402.080000000002</v>
      </c>
    </row>
    <row r="2324" spans="2:7" hidden="1" outlineLevel="3">
      <c r="B2324" s="330" t="s">
        <v>3159</v>
      </c>
      <c r="C2324" s="121" t="s">
        <v>2987</v>
      </c>
      <c r="D2324" s="332" t="s">
        <v>43</v>
      </c>
      <c r="E2324" s="332">
        <v>4</v>
      </c>
      <c r="F2324" s="325">
        <v>6141.12</v>
      </c>
      <c r="G2324" s="436">
        <f>ROUND(E2324*F2324,2)</f>
        <v>24564.48</v>
      </c>
    </row>
    <row r="2325" spans="2:7" hidden="1" outlineLevel="3">
      <c r="B2325" s="330" t="s">
        <v>3160</v>
      </c>
      <c r="C2325" s="121" t="s">
        <v>2989</v>
      </c>
      <c r="D2325" s="332" t="s">
        <v>43</v>
      </c>
      <c r="E2325" s="332">
        <v>4</v>
      </c>
      <c r="F2325" s="325">
        <v>6709.4</v>
      </c>
      <c r="G2325" s="436">
        <f>ROUND(E2325*F2325,2)</f>
        <v>26837.599999999999</v>
      </c>
    </row>
    <row r="2326" spans="2:7" hidden="1" outlineLevel="3">
      <c r="B2326" s="331" t="s">
        <v>3161</v>
      </c>
      <c r="C2326" s="324" t="s">
        <v>1600</v>
      </c>
      <c r="D2326" s="332"/>
      <c r="E2326" s="332"/>
      <c r="F2326" s="325"/>
      <c r="G2326" s="435">
        <f>+SUBTOTAL(9,G2327)</f>
        <v>3050.4</v>
      </c>
    </row>
    <row r="2327" spans="2:7" hidden="1" outlineLevel="3">
      <c r="B2327" s="330" t="s">
        <v>3162</v>
      </c>
      <c r="C2327" s="121" t="s">
        <v>3163</v>
      </c>
      <c r="D2327" s="332" t="s">
        <v>43</v>
      </c>
      <c r="E2327" s="332">
        <v>1</v>
      </c>
      <c r="F2327" s="325">
        <v>3050.4</v>
      </c>
      <c r="G2327" s="436">
        <f>ROUND(E2327*F2327,2)</f>
        <v>3050.4</v>
      </c>
    </row>
    <row r="2328" spans="2:7" ht="30" outlineLevel="2">
      <c r="B2328" s="331" t="s">
        <v>3164</v>
      </c>
      <c r="C2328" s="324" t="s">
        <v>3165</v>
      </c>
      <c r="D2328" s="332"/>
      <c r="E2328" s="332"/>
      <c r="F2328" s="325"/>
      <c r="G2328" s="435">
        <f>+SUBTOTAL(9,G2329:G2356)</f>
        <v>600356.41</v>
      </c>
    </row>
    <row r="2329" spans="2:7" outlineLevel="3">
      <c r="B2329" s="331" t="s">
        <v>3166</v>
      </c>
      <c r="C2329" s="324" t="s">
        <v>2954</v>
      </c>
      <c r="D2329" s="332"/>
      <c r="E2329" s="332"/>
      <c r="F2329" s="325"/>
      <c r="G2329" s="435">
        <f>+SUBTOTAL(9,G2330)</f>
        <v>147881.28</v>
      </c>
    </row>
    <row r="2330" spans="2:7" outlineLevel="3">
      <c r="B2330" s="330" t="s">
        <v>3167</v>
      </c>
      <c r="C2330" s="121" t="s">
        <v>2956</v>
      </c>
      <c r="D2330" s="332" t="s">
        <v>57</v>
      </c>
      <c r="E2330" s="332">
        <v>800.7</v>
      </c>
      <c r="F2330" s="325">
        <v>184.69</v>
      </c>
      <c r="G2330" s="436">
        <f>ROUND(E2330*F2330,2)</f>
        <v>147881.28</v>
      </c>
    </row>
    <row r="2331" spans="2:7" outlineLevel="3">
      <c r="B2331" s="331" t="s">
        <v>3168</v>
      </c>
      <c r="C2331" s="324" t="s">
        <v>1585</v>
      </c>
      <c r="D2331" s="332"/>
      <c r="E2331" s="332"/>
      <c r="F2331" s="325"/>
      <c r="G2331" s="435">
        <f>+SUBTOTAL(9,G2332:G2343)</f>
        <v>382323.45999999996</v>
      </c>
    </row>
    <row r="2332" spans="2:7" outlineLevel="3">
      <c r="B2332" s="330" t="s">
        <v>3169</v>
      </c>
      <c r="C2332" s="121" t="s">
        <v>3170</v>
      </c>
      <c r="D2332" s="332" t="s">
        <v>64</v>
      </c>
      <c r="E2332" s="332">
        <v>181.9</v>
      </c>
      <c r="F2332" s="325">
        <v>228.92</v>
      </c>
      <c r="G2332" s="436">
        <f t="shared" ref="G2332:G2343" si="63">ROUND(E2332*F2332,2)</f>
        <v>41640.550000000003</v>
      </c>
    </row>
    <row r="2333" spans="2:7" outlineLevel="3">
      <c r="B2333" s="330" t="s">
        <v>3171</v>
      </c>
      <c r="C2333" s="121" t="s">
        <v>3172</v>
      </c>
      <c r="D2333" s="332" t="s">
        <v>64</v>
      </c>
      <c r="E2333" s="332">
        <v>68.760000000000005</v>
      </c>
      <c r="F2333" s="325">
        <v>234.88</v>
      </c>
      <c r="G2333" s="436">
        <f t="shared" si="63"/>
        <v>16150.35</v>
      </c>
    </row>
    <row r="2334" spans="2:7" outlineLevel="3">
      <c r="B2334" s="330" t="s">
        <v>3173</v>
      </c>
      <c r="C2334" s="121" t="s">
        <v>3174</v>
      </c>
      <c r="D2334" s="332" t="s">
        <v>64</v>
      </c>
      <c r="E2334" s="332">
        <v>86.85</v>
      </c>
      <c r="F2334" s="325">
        <v>793.65</v>
      </c>
      <c r="G2334" s="436">
        <f t="shared" si="63"/>
        <v>68928.5</v>
      </c>
    </row>
    <row r="2335" spans="2:7" ht="30" outlineLevel="3">
      <c r="B2335" s="330" t="s">
        <v>3175</v>
      </c>
      <c r="C2335" s="121" t="s">
        <v>3125</v>
      </c>
      <c r="D2335" s="332" t="s">
        <v>64</v>
      </c>
      <c r="E2335" s="332">
        <v>415.29</v>
      </c>
      <c r="F2335" s="325">
        <v>182.3</v>
      </c>
      <c r="G2335" s="436">
        <f t="shared" si="63"/>
        <v>75707.37</v>
      </c>
    </row>
    <row r="2336" spans="2:7" outlineLevel="3">
      <c r="B2336" s="330" t="s">
        <v>3176</v>
      </c>
      <c r="C2336" s="121" t="s">
        <v>3177</v>
      </c>
      <c r="D2336" s="332" t="s">
        <v>64</v>
      </c>
      <c r="E2336" s="332">
        <v>29.69</v>
      </c>
      <c r="F2336" s="325">
        <v>182.81</v>
      </c>
      <c r="G2336" s="436">
        <f t="shared" si="63"/>
        <v>5427.63</v>
      </c>
    </row>
    <row r="2337" spans="2:7" ht="30" outlineLevel="3">
      <c r="B2337" s="330" t="s">
        <v>3178</v>
      </c>
      <c r="C2337" s="121" t="s">
        <v>3179</v>
      </c>
      <c r="D2337" s="332" t="s">
        <v>64</v>
      </c>
      <c r="E2337" s="332">
        <v>165.19</v>
      </c>
      <c r="F2337" s="325">
        <v>279.39999999999998</v>
      </c>
      <c r="G2337" s="436">
        <f t="shared" si="63"/>
        <v>46154.09</v>
      </c>
    </row>
    <row r="2338" spans="2:7" ht="30" outlineLevel="3">
      <c r="B2338" s="330" t="s">
        <v>3180</v>
      </c>
      <c r="C2338" s="121" t="s">
        <v>3181</v>
      </c>
      <c r="D2338" s="332" t="s">
        <v>64</v>
      </c>
      <c r="E2338" s="332">
        <v>26.5</v>
      </c>
      <c r="F2338" s="325">
        <v>285.35000000000002</v>
      </c>
      <c r="G2338" s="436">
        <f t="shared" si="63"/>
        <v>7561.78</v>
      </c>
    </row>
    <row r="2339" spans="2:7" ht="30" outlineLevel="3">
      <c r="B2339" s="330" t="s">
        <v>3182</v>
      </c>
      <c r="C2339" s="121" t="s">
        <v>3183</v>
      </c>
      <c r="D2339" s="332" t="s">
        <v>64</v>
      </c>
      <c r="E2339" s="332">
        <v>38.21</v>
      </c>
      <c r="F2339" s="325">
        <v>844.13</v>
      </c>
      <c r="G2339" s="436">
        <f t="shared" si="63"/>
        <v>32254.21</v>
      </c>
    </row>
    <row r="2340" spans="2:7" ht="30" outlineLevel="3">
      <c r="B2340" s="330" t="s">
        <v>3184</v>
      </c>
      <c r="C2340" s="121" t="s">
        <v>3141</v>
      </c>
      <c r="D2340" s="332" t="s">
        <v>64</v>
      </c>
      <c r="E2340" s="332">
        <v>155.1</v>
      </c>
      <c r="F2340" s="325">
        <v>250.42</v>
      </c>
      <c r="G2340" s="436">
        <f t="shared" si="63"/>
        <v>38840.14</v>
      </c>
    </row>
    <row r="2341" spans="2:7" ht="30" outlineLevel="3">
      <c r="B2341" s="330" t="s">
        <v>3185</v>
      </c>
      <c r="C2341" s="121" t="s">
        <v>3186</v>
      </c>
      <c r="D2341" s="332" t="s">
        <v>64</v>
      </c>
      <c r="E2341" s="332">
        <v>13.21</v>
      </c>
      <c r="F2341" s="325">
        <v>250.93</v>
      </c>
      <c r="G2341" s="436">
        <f t="shared" si="63"/>
        <v>3314.79</v>
      </c>
    </row>
    <row r="2342" spans="2:7" outlineLevel="3">
      <c r="B2342" s="330" t="s">
        <v>3187</v>
      </c>
      <c r="C2342" s="121" t="s">
        <v>3188</v>
      </c>
      <c r="D2342" s="332" t="s">
        <v>1872</v>
      </c>
      <c r="E2342" s="332">
        <v>1</v>
      </c>
      <c r="F2342" s="325">
        <v>17560.11</v>
      </c>
      <c r="G2342" s="436">
        <f t="shared" si="63"/>
        <v>17560.11</v>
      </c>
    </row>
    <row r="2343" spans="2:7" ht="30" outlineLevel="3">
      <c r="B2343" s="330" t="s">
        <v>3189</v>
      </c>
      <c r="C2343" s="121" t="s">
        <v>3190</v>
      </c>
      <c r="D2343" s="332" t="s">
        <v>1872</v>
      </c>
      <c r="E2343" s="332">
        <v>1</v>
      </c>
      <c r="F2343" s="325">
        <v>28783.94</v>
      </c>
      <c r="G2343" s="436">
        <f t="shared" si="63"/>
        <v>28783.94</v>
      </c>
    </row>
    <row r="2344" spans="2:7" outlineLevel="3">
      <c r="B2344" s="331" t="s">
        <v>3191</v>
      </c>
      <c r="C2344" s="324" t="s">
        <v>2979</v>
      </c>
      <c r="D2344" s="332"/>
      <c r="E2344" s="332"/>
      <c r="F2344" s="325"/>
      <c r="G2344" s="435">
        <f>+SUBTOTAL(9,G2345:G2354)</f>
        <v>69363.259999999995</v>
      </c>
    </row>
    <row r="2345" spans="2:7" outlineLevel="3">
      <c r="B2345" s="331" t="s">
        <v>3192</v>
      </c>
      <c r="C2345" s="324" t="s">
        <v>3193</v>
      </c>
      <c r="D2345" s="332"/>
      <c r="E2345" s="332"/>
      <c r="F2345" s="325"/>
      <c r="G2345" s="435">
        <f>+SUBTOTAL(9,G2346:G2351)</f>
        <v>43662.22</v>
      </c>
    </row>
    <row r="2346" spans="2:7" outlineLevel="3">
      <c r="B2346" s="330" t="s">
        <v>3194</v>
      </c>
      <c r="C2346" s="121" t="s">
        <v>3195</v>
      </c>
      <c r="D2346" s="332" t="s">
        <v>43</v>
      </c>
      <c r="E2346" s="332">
        <v>2</v>
      </c>
      <c r="F2346" s="325">
        <v>1241.33</v>
      </c>
      <c r="G2346" s="436">
        <f t="shared" ref="G2346:G2354" si="64">ROUND(E2346*F2346,2)</f>
        <v>2482.66</v>
      </c>
    </row>
    <row r="2347" spans="2:7" outlineLevel="3">
      <c r="B2347" s="330" t="s">
        <v>3196</v>
      </c>
      <c r="C2347" s="121" t="s">
        <v>3151</v>
      </c>
      <c r="D2347" s="332" t="s">
        <v>43</v>
      </c>
      <c r="E2347" s="332">
        <v>1</v>
      </c>
      <c r="F2347" s="325">
        <v>2452.6999999999998</v>
      </c>
      <c r="G2347" s="436">
        <f t="shared" si="64"/>
        <v>2452.6999999999998</v>
      </c>
    </row>
    <row r="2348" spans="2:7" outlineLevel="3">
      <c r="B2348" s="330" t="s">
        <v>3197</v>
      </c>
      <c r="C2348" s="121" t="s">
        <v>3198</v>
      </c>
      <c r="D2348" s="332" t="s">
        <v>43</v>
      </c>
      <c r="E2348" s="332">
        <v>1</v>
      </c>
      <c r="F2348" s="325">
        <v>4216.91</v>
      </c>
      <c r="G2348" s="436">
        <f t="shared" si="64"/>
        <v>4216.91</v>
      </c>
    </row>
    <row r="2349" spans="2:7" outlineLevel="3">
      <c r="B2349" s="330" t="s">
        <v>3199</v>
      </c>
      <c r="C2349" s="121" t="s">
        <v>3200</v>
      </c>
      <c r="D2349" s="332" t="s">
        <v>43</v>
      </c>
      <c r="E2349" s="332">
        <v>1</v>
      </c>
      <c r="F2349" s="325">
        <v>12570.88</v>
      </c>
      <c r="G2349" s="436">
        <f t="shared" si="64"/>
        <v>12570.88</v>
      </c>
    </row>
    <row r="2350" spans="2:7" outlineLevel="3">
      <c r="B2350" s="330" t="s">
        <v>3201</v>
      </c>
      <c r="C2350" s="121" t="s">
        <v>3202</v>
      </c>
      <c r="D2350" s="332" t="s">
        <v>43</v>
      </c>
      <c r="E2350" s="332">
        <v>1</v>
      </c>
      <c r="F2350" s="325">
        <v>4782.08</v>
      </c>
      <c r="G2350" s="436">
        <f t="shared" si="64"/>
        <v>4782.08</v>
      </c>
    </row>
    <row r="2351" spans="2:7" outlineLevel="3">
      <c r="B2351" s="330" t="s">
        <v>3203</v>
      </c>
      <c r="C2351" s="121" t="s">
        <v>3204</v>
      </c>
      <c r="D2351" s="332" t="s">
        <v>43</v>
      </c>
      <c r="E2351" s="332">
        <v>1</v>
      </c>
      <c r="F2351" s="325">
        <v>17156.990000000002</v>
      </c>
      <c r="G2351" s="436">
        <f t="shared" si="64"/>
        <v>17156.990000000002</v>
      </c>
    </row>
    <row r="2352" spans="2:7" outlineLevel="3">
      <c r="B2352" s="331" t="s">
        <v>3205</v>
      </c>
      <c r="C2352" s="324" t="s">
        <v>2985</v>
      </c>
      <c r="D2352" s="332"/>
      <c r="E2352" s="332"/>
      <c r="F2352" s="325"/>
      <c r="G2352" s="435">
        <f>+SUBTOTAL(9,G2353:G2354)</f>
        <v>25701.040000000001</v>
      </c>
    </row>
    <row r="2353" spans="2:7" outlineLevel="3">
      <c r="B2353" s="330" t="s">
        <v>3206</v>
      </c>
      <c r="C2353" s="121" t="s">
        <v>2987</v>
      </c>
      <c r="D2353" s="332" t="s">
        <v>43</v>
      </c>
      <c r="E2353" s="332">
        <v>2</v>
      </c>
      <c r="F2353" s="325">
        <v>6141.12</v>
      </c>
      <c r="G2353" s="436">
        <f t="shared" si="64"/>
        <v>12282.24</v>
      </c>
    </row>
    <row r="2354" spans="2:7" outlineLevel="3">
      <c r="B2354" s="330" t="s">
        <v>3207</v>
      </c>
      <c r="C2354" s="121" t="s">
        <v>2989</v>
      </c>
      <c r="D2354" s="332" t="s">
        <v>43</v>
      </c>
      <c r="E2354" s="332">
        <v>2</v>
      </c>
      <c r="F2354" s="325">
        <v>6709.4</v>
      </c>
      <c r="G2354" s="436">
        <f t="shared" si="64"/>
        <v>13418.8</v>
      </c>
    </row>
    <row r="2355" spans="2:7" outlineLevel="3">
      <c r="B2355" s="331" t="s">
        <v>3208</v>
      </c>
      <c r="C2355" s="324" t="s">
        <v>1600</v>
      </c>
      <c r="D2355" s="332"/>
      <c r="E2355" s="332"/>
      <c r="F2355" s="325"/>
      <c r="G2355" s="435">
        <f>+SUBTOTAL(9,G2356)</f>
        <v>788.41</v>
      </c>
    </row>
    <row r="2356" spans="2:7" outlineLevel="3">
      <c r="B2356" s="330" t="s">
        <v>3209</v>
      </c>
      <c r="C2356" s="121" t="s">
        <v>3210</v>
      </c>
      <c r="D2356" s="332" t="s">
        <v>43</v>
      </c>
      <c r="E2356" s="332">
        <v>1</v>
      </c>
      <c r="F2356" s="325">
        <v>788.41</v>
      </c>
      <c r="G2356" s="436">
        <f>ROUND(E2356*F2356,2)</f>
        <v>788.41</v>
      </c>
    </row>
    <row r="2357" spans="2:7" ht="30" outlineLevel="2" collapsed="1">
      <c r="B2357" s="331" t="s">
        <v>3211</v>
      </c>
      <c r="C2357" s="324" t="s">
        <v>3212</v>
      </c>
      <c r="D2357" s="332"/>
      <c r="E2357" s="332"/>
      <c r="F2357" s="325"/>
      <c r="G2357" s="435">
        <f>+SUBTOTAL(9,G2358:G2376)</f>
        <v>1097491.1000000001</v>
      </c>
    </row>
    <row r="2358" spans="2:7" hidden="1" outlineLevel="3">
      <c r="B2358" s="331" t="s">
        <v>3213</v>
      </c>
      <c r="C2358" s="324" t="s">
        <v>1585</v>
      </c>
      <c r="D2358" s="332"/>
      <c r="E2358" s="332"/>
      <c r="F2358" s="325"/>
      <c r="G2358" s="435">
        <f>+SUBTOTAL(9,G2359:G2366)</f>
        <v>1020499.4500000001</v>
      </c>
    </row>
    <row r="2359" spans="2:7" ht="30" hidden="1" outlineLevel="3">
      <c r="B2359" s="330" t="s">
        <v>3214</v>
      </c>
      <c r="C2359" s="121" t="s">
        <v>3215</v>
      </c>
      <c r="D2359" s="332" t="s">
        <v>64</v>
      </c>
      <c r="E2359" s="332">
        <v>378.24</v>
      </c>
      <c r="F2359" s="325">
        <v>176.55</v>
      </c>
      <c r="G2359" s="436">
        <f t="shared" ref="G2359:G2366" si="65">ROUND(E2359*F2359,2)</f>
        <v>66778.27</v>
      </c>
    </row>
    <row r="2360" spans="2:7" ht="30" hidden="1" outlineLevel="3">
      <c r="B2360" s="330" t="s">
        <v>3216</v>
      </c>
      <c r="C2360" s="121" t="s">
        <v>3217</v>
      </c>
      <c r="D2360" s="332" t="s">
        <v>64</v>
      </c>
      <c r="E2360" s="332">
        <v>306.14999999999998</v>
      </c>
      <c r="F2360" s="325">
        <v>200</v>
      </c>
      <c r="G2360" s="436">
        <f t="shared" si="65"/>
        <v>61230</v>
      </c>
    </row>
    <row r="2361" spans="2:7" ht="30" hidden="1" outlineLevel="3">
      <c r="B2361" s="330" t="s">
        <v>3218</v>
      </c>
      <c r="C2361" s="121" t="s">
        <v>3219</v>
      </c>
      <c r="D2361" s="332" t="s">
        <v>64</v>
      </c>
      <c r="E2361" s="332">
        <v>334.94</v>
      </c>
      <c r="F2361" s="325">
        <v>759.07</v>
      </c>
      <c r="G2361" s="436">
        <f t="shared" si="65"/>
        <v>254242.91</v>
      </c>
    </row>
    <row r="2362" spans="2:7" ht="30" hidden="1" outlineLevel="3">
      <c r="B2362" s="330" t="s">
        <v>3220</v>
      </c>
      <c r="C2362" s="121" t="s">
        <v>3221</v>
      </c>
      <c r="D2362" s="332" t="s">
        <v>64</v>
      </c>
      <c r="E2362" s="332">
        <v>350.28</v>
      </c>
      <c r="F2362" s="325">
        <v>227.03</v>
      </c>
      <c r="G2362" s="436">
        <f t="shared" si="65"/>
        <v>79524.070000000007</v>
      </c>
    </row>
    <row r="2363" spans="2:7" ht="30" hidden="1" outlineLevel="3">
      <c r="B2363" s="330" t="s">
        <v>3222</v>
      </c>
      <c r="C2363" s="121" t="s">
        <v>3223</v>
      </c>
      <c r="D2363" s="332" t="s">
        <v>64</v>
      </c>
      <c r="E2363" s="332">
        <v>168.76</v>
      </c>
      <c r="F2363" s="325">
        <v>250.47</v>
      </c>
      <c r="G2363" s="436">
        <f t="shared" si="65"/>
        <v>42269.32</v>
      </c>
    </row>
    <row r="2364" spans="2:7" ht="30" hidden="1" outlineLevel="3">
      <c r="B2364" s="330" t="s">
        <v>3224</v>
      </c>
      <c r="C2364" s="121" t="s">
        <v>3225</v>
      </c>
      <c r="D2364" s="332" t="s">
        <v>64</v>
      </c>
      <c r="E2364" s="332">
        <v>512.09</v>
      </c>
      <c r="F2364" s="325">
        <v>809.54</v>
      </c>
      <c r="G2364" s="436">
        <f t="shared" si="65"/>
        <v>414557.34</v>
      </c>
    </row>
    <row r="2365" spans="2:7" hidden="1" outlineLevel="3">
      <c r="B2365" s="330" t="s">
        <v>3226</v>
      </c>
      <c r="C2365" s="121" t="s">
        <v>3227</v>
      </c>
      <c r="D2365" s="332" t="s">
        <v>1872</v>
      </c>
      <c r="E2365" s="332">
        <v>1</v>
      </c>
      <c r="F2365" s="325">
        <v>25962.51</v>
      </c>
      <c r="G2365" s="436">
        <f t="shared" si="65"/>
        <v>25962.51</v>
      </c>
    </row>
    <row r="2366" spans="2:7" ht="30" hidden="1" outlineLevel="3">
      <c r="B2366" s="330" t="s">
        <v>3228</v>
      </c>
      <c r="C2366" s="121" t="s">
        <v>3229</v>
      </c>
      <c r="D2366" s="332" t="s">
        <v>1872</v>
      </c>
      <c r="E2366" s="332">
        <v>1</v>
      </c>
      <c r="F2366" s="325">
        <v>75935.03</v>
      </c>
      <c r="G2366" s="436">
        <f t="shared" si="65"/>
        <v>75935.03</v>
      </c>
    </row>
    <row r="2367" spans="2:7" hidden="1" outlineLevel="3">
      <c r="B2367" s="331" t="s">
        <v>3230</v>
      </c>
      <c r="C2367" s="324" t="s">
        <v>2977</v>
      </c>
      <c r="D2367" s="332"/>
      <c r="E2367" s="332"/>
      <c r="F2367" s="325"/>
      <c r="G2367" s="435">
        <f>+SUBTOTAL(9,G2368:G2376)</f>
        <v>76991.649999999994</v>
      </c>
    </row>
    <row r="2368" spans="2:7" hidden="1" outlineLevel="3">
      <c r="B2368" s="331" t="s">
        <v>3231</v>
      </c>
      <c r="C2368" s="324" t="s">
        <v>2979</v>
      </c>
      <c r="D2368" s="332"/>
      <c r="E2368" s="332"/>
      <c r="F2368" s="325"/>
      <c r="G2368" s="435">
        <f>+SUBTOTAL(9,G2369:G2371)</f>
        <v>29435.84</v>
      </c>
    </row>
    <row r="2369" spans="2:7" hidden="1" outlineLevel="3">
      <c r="B2369" s="330" t="s">
        <v>3232</v>
      </c>
      <c r="C2369" s="121" t="s">
        <v>3198</v>
      </c>
      <c r="D2369" s="332" t="s">
        <v>43</v>
      </c>
      <c r="E2369" s="332">
        <v>2</v>
      </c>
      <c r="F2369" s="325">
        <v>4216.91</v>
      </c>
      <c r="G2369" s="436">
        <f>ROUND(E2369*F2369,2)</f>
        <v>8433.82</v>
      </c>
    </row>
    <row r="2370" spans="2:7" hidden="1" outlineLevel="3">
      <c r="B2370" s="330" t="s">
        <v>3233</v>
      </c>
      <c r="C2370" s="121" t="s">
        <v>3202</v>
      </c>
      <c r="D2370" s="332" t="s">
        <v>43</v>
      </c>
      <c r="E2370" s="332">
        <v>2</v>
      </c>
      <c r="F2370" s="325">
        <v>4782.08</v>
      </c>
      <c r="G2370" s="436">
        <f>ROUND(E2370*F2370,2)</f>
        <v>9564.16</v>
      </c>
    </row>
    <row r="2371" spans="2:7" hidden="1" outlineLevel="3">
      <c r="B2371" s="330" t="s">
        <v>3234</v>
      </c>
      <c r="C2371" s="121" t="s">
        <v>3235</v>
      </c>
      <c r="D2371" s="332" t="s">
        <v>43</v>
      </c>
      <c r="E2371" s="332">
        <v>1</v>
      </c>
      <c r="F2371" s="325">
        <v>11437.86</v>
      </c>
      <c r="G2371" s="436">
        <f>ROUND(E2371*F2371,2)</f>
        <v>11437.86</v>
      </c>
    </row>
    <row r="2372" spans="2:7" hidden="1" outlineLevel="3">
      <c r="B2372" s="331" t="s">
        <v>3236</v>
      </c>
      <c r="C2372" s="324" t="s">
        <v>2985</v>
      </c>
      <c r="D2372" s="332"/>
      <c r="E2372" s="332"/>
      <c r="F2372" s="325"/>
      <c r="G2372" s="435">
        <f>+SUBTOTAL(9,G2373:G2376)</f>
        <v>47555.81</v>
      </c>
    </row>
    <row r="2373" spans="2:7" hidden="1" outlineLevel="3">
      <c r="B2373" s="330" t="s">
        <v>3237</v>
      </c>
      <c r="C2373" s="121" t="s">
        <v>2987</v>
      </c>
      <c r="D2373" s="332" t="s">
        <v>43</v>
      </c>
      <c r="E2373" s="332">
        <v>2</v>
      </c>
      <c r="F2373" s="325">
        <v>6141.12</v>
      </c>
      <c r="G2373" s="436">
        <f>ROUND(E2373*F2373,2)</f>
        <v>12282.24</v>
      </c>
    </row>
    <row r="2374" spans="2:7" hidden="1" outlineLevel="3">
      <c r="B2374" s="330" t="s">
        <v>3238</v>
      </c>
      <c r="C2374" s="121" t="s">
        <v>2989</v>
      </c>
      <c r="D2374" s="332" t="s">
        <v>43</v>
      </c>
      <c r="E2374" s="332">
        <v>1</v>
      </c>
      <c r="F2374" s="325">
        <v>6709.4</v>
      </c>
      <c r="G2374" s="436">
        <f>ROUND(E2374*F2374,2)</f>
        <v>6709.4</v>
      </c>
    </row>
    <row r="2375" spans="2:7" hidden="1" outlineLevel="3">
      <c r="B2375" s="330" t="s">
        <v>3239</v>
      </c>
      <c r="C2375" s="121" t="s">
        <v>3073</v>
      </c>
      <c r="D2375" s="332" t="s">
        <v>43</v>
      </c>
      <c r="E2375" s="332">
        <v>1</v>
      </c>
      <c r="F2375" s="325">
        <v>6935.57</v>
      </c>
      <c r="G2375" s="436">
        <f>ROUND(E2375*F2375,2)</f>
        <v>6935.57</v>
      </c>
    </row>
    <row r="2376" spans="2:7" ht="30" hidden="1" outlineLevel="3">
      <c r="B2376" s="330" t="s">
        <v>3240</v>
      </c>
      <c r="C2376" s="121" t="s">
        <v>3241</v>
      </c>
      <c r="D2376" s="332" t="s">
        <v>43</v>
      </c>
      <c r="E2376" s="332">
        <v>1</v>
      </c>
      <c r="F2376" s="325">
        <v>21628.6</v>
      </c>
      <c r="G2376" s="436">
        <f>ROUND(E2376*F2376,2)</f>
        <v>21628.6</v>
      </c>
    </row>
    <row r="2377" spans="2:7" ht="30" outlineLevel="2" collapsed="1">
      <c r="B2377" s="331" t="s">
        <v>3242</v>
      </c>
      <c r="C2377" s="324" t="s">
        <v>3243</v>
      </c>
      <c r="D2377" s="332"/>
      <c r="E2377" s="332"/>
      <c r="F2377" s="325"/>
      <c r="G2377" s="435">
        <f>+SUBTOTAL(9,G2378:G2389)</f>
        <v>119605.20999999999</v>
      </c>
    </row>
    <row r="2378" spans="2:7" hidden="1" outlineLevel="3">
      <c r="B2378" s="331" t="s">
        <v>3244</v>
      </c>
      <c r="C2378" s="324" t="s">
        <v>1585</v>
      </c>
      <c r="D2378" s="332"/>
      <c r="E2378" s="332"/>
      <c r="F2378" s="325"/>
      <c r="G2378" s="435">
        <f>+SUBTOTAL(9,G2379:G2382)</f>
        <v>72590.16</v>
      </c>
    </row>
    <row r="2379" spans="2:7" hidden="1" outlineLevel="3">
      <c r="B2379" s="330" t="s">
        <v>3245</v>
      </c>
      <c r="C2379" s="121" t="s">
        <v>3246</v>
      </c>
      <c r="D2379" s="332" t="s">
        <v>64</v>
      </c>
      <c r="E2379" s="332">
        <v>175.34</v>
      </c>
      <c r="F2379" s="325">
        <v>298.75</v>
      </c>
      <c r="G2379" s="436">
        <f>ROUND(E2379*F2379,2)</f>
        <v>52382.83</v>
      </c>
    </row>
    <row r="2380" spans="2:7" ht="30" hidden="1" outlineLevel="3">
      <c r="B2380" s="330" t="s">
        <v>3247</v>
      </c>
      <c r="C2380" s="121" t="s">
        <v>3248</v>
      </c>
      <c r="D2380" s="332" t="s">
        <v>64</v>
      </c>
      <c r="E2380" s="332">
        <v>61.74</v>
      </c>
      <c r="F2380" s="325">
        <v>281.13</v>
      </c>
      <c r="G2380" s="436">
        <f>ROUND(E2380*F2380,2)</f>
        <v>17356.97</v>
      </c>
    </row>
    <row r="2381" spans="2:7" hidden="1" outlineLevel="3">
      <c r="B2381" s="330" t="s">
        <v>3249</v>
      </c>
      <c r="C2381" s="121" t="s">
        <v>3250</v>
      </c>
      <c r="D2381" s="332" t="s">
        <v>1872</v>
      </c>
      <c r="E2381" s="332">
        <v>1</v>
      </c>
      <c r="F2381" s="325">
        <v>2422.54</v>
      </c>
      <c r="G2381" s="436">
        <f>ROUND(E2381*F2381,2)</f>
        <v>2422.54</v>
      </c>
    </row>
    <row r="2382" spans="2:7" ht="30" hidden="1" outlineLevel="3">
      <c r="B2382" s="330" t="s">
        <v>3251</v>
      </c>
      <c r="C2382" s="121" t="s">
        <v>3252</v>
      </c>
      <c r="D2382" s="332" t="s">
        <v>1872</v>
      </c>
      <c r="E2382" s="332">
        <v>1</v>
      </c>
      <c r="F2382" s="325">
        <v>427.82</v>
      </c>
      <c r="G2382" s="436">
        <f>ROUND(E2382*F2382,2)</f>
        <v>427.82</v>
      </c>
    </row>
    <row r="2383" spans="2:7" hidden="1" outlineLevel="3">
      <c r="B2383" s="331" t="s">
        <v>3253</v>
      </c>
      <c r="C2383" s="324" t="s">
        <v>2977</v>
      </c>
      <c r="D2383" s="332"/>
      <c r="E2383" s="332"/>
      <c r="F2383" s="325"/>
      <c r="G2383" s="435">
        <f>+SUBTOTAL(9,G2384:G2389)</f>
        <v>47015.05</v>
      </c>
    </row>
    <row r="2384" spans="2:7" hidden="1" outlineLevel="3">
      <c r="B2384" s="331" t="s">
        <v>3254</v>
      </c>
      <c r="C2384" s="324" t="s">
        <v>2979</v>
      </c>
      <c r="D2384" s="332"/>
      <c r="E2384" s="332"/>
      <c r="F2384" s="325"/>
      <c r="G2384" s="435">
        <f>+SUBTOTAL(9,G2385:G2386)</f>
        <v>18162.59</v>
      </c>
    </row>
    <row r="2385" spans="2:7" hidden="1" outlineLevel="3">
      <c r="B2385" s="330" t="s">
        <v>3255</v>
      </c>
      <c r="C2385" s="121" t="s">
        <v>3256</v>
      </c>
      <c r="D2385" s="332" t="s">
        <v>43</v>
      </c>
      <c r="E2385" s="332">
        <v>1</v>
      </c>
      <c r="F2385" s="325">
        <v>8217.2000000000007</v>
      </c>
      <c r="G2385" s="436">
        <f>ROUND(E2385*F2385,2)</f>
        <v>8217.2000000000007</v>
      </c>
    </row>
    <row r="2386" spans="2:7" hidden="1" outlineLevel="3">
      <c r="B2386" s="330" t="s">
        <v>3257</v>
      </c>
      <c r="C2386" s="121" t="s">
        <v>3258</v>
      </c>
      <c r="D2386" s="332" t="s">
        <v>43</v>
      </c>
      <c r="E2386" s="332">
        <v>1</v>
      </c>
      <c r="F2386" s="325">
        <v>9945.39</v>
      </c>
      <c r="G2386" s="436">
        <f>ROUND(E2386*F2386,2)</f>
        <v>9945.39</v>
      </c>
    </row>
    <row r="2387" spans="2:7" hidden="1" outlineLevel="3">
      <c r="B2387" s="331" t="s">
        <v>3259</v>
      </c>
      <c r="C2387" s="324" t="s">
        <v>2985</v>
      </c>
      <c r="D2387" s="332"/>
      <c r="E2387" s="332"/>
      <c r="F2387" s="325"/>
      <c r="G2387" s="435">
        <f>+SUBTOTAL(9,G2388:G2389)</f>
        <v>28852.46</v>
      </c>
    </row>
    <row r="2388" spans="2:7" hidden="1" outlineLevel="3">
      <c r="B2388" s="330" t="s">
        <v>3260</v>
      </c>
      <c r="C2388" s="121" t="s">
        <v>3070</v>
      </c>
      <c r="D2388" s="332" t="s">
        <v>43</v>
      </c>
      <c r="E2388" s="332">
        <v>1</v>
      </c>
      <c r="F2388" s="325">
        <v>7223.86</v>
      </c>
      <c r="G2388" s="436">
        <f>ROUND(E2388*F2388,2)</f>
        <v>7223.86</v>
      </c>
    </row>
    <row r="2389" spans="2:7" ht="30" hidden="1" outlineLevel="3">
      <c r="B2389" s="330" t="s">
        <v>3261</v>
      </c>
      <c r="C2389" s="121" t="s">
        <v>3241</v>
      </c>
      <c r="D2389" s="332" t="s">
        <v>43</v>
      </c>
      <c r="E2389" s="332">
        <v>1</v>
      </c>
      <c r="F2389" s="325">
        <v>21628.6</v>
      </c>
      <c r="G2389" s="436">
        <f>ROUND(E2389*F2389,2)</f>
        <v>21628.6</v>
      </c>
    </row>
    <row r="2390" spans="2:7" ht="30" outlineLevel="2" collapsed="1">
      <c r="B2390" s="331" t="s">
        <v>3262</v>
      </c>
      <c r="C2390" s="324" t="s">
        <v>3263</v>
      </c>
      <c r="D2390" s="332"/>
      <c r="E2390" s="332"/>
      <c r="F2390" s="325"/>
      <c r="G2390" s="435">
        <f>+SUBTOTAL(9,G2391:G2407)</f>
        <v>191194.75999999995</v>
      </c>
    </row>
    <row r="2391" spans="2:7" hidden="1" outlineLevel="3">
      <c r="B2391" s="331" t="s">
        <v>3264</v>
      </c>
      <c r="C2391" s="324" t="s">
        <v>1585</v>
      </c>
      <c r="D2391" s="332"/>
      <c r="E2391" s="332"/>
      <c r="F2391" s="325"/>
      <c r="G2391" s="435">
        <f>+SUBTOTAL(9,G2392:G2399)</f>
        <v>128066.26</v>
      </c>
    </row>
    <row r="2392" spans="2:7" ht="30" hidden="1" outlineLevel="3">
      <c r="B2392" s="330" t="s">
        <v>3265</v>
      </c>
      <c r="C2392" s="121" t="s">
        <v>3266</v>
      </c>
      <c r="D2392" s="332" t="s">
        <v>64</v>
      </c>
      <c r="E2392" s="332">
        <v>133.21</v>
      </c>
      <c r="F2392" s="325">
        <v>103.31</v>
      </c>
      <c r="G2392" s="436">
        <f t="shared" ref="G2392:G2399" si="66">ROUND(E2392*F2392,2)</f>
        <v>13761.93</v>
      </c>
    </row>
    <row r="2393" spans="2:7" ht="30" hidden="1" outlineLevel="3">
      <c r="B2393" s="330" t="s">
        <v>3267</v>
      </c>
      <c r="C2393" s="121" t="s">
        <v>3268</v>
      </c>
      <c r="D2393" s="332" t="s">
        <v>64</v>
      </c>
      <c r="E2393" s="332">
        <v>194.21</v>
      </c>
      <c r="F2393" s="325">
        <v>116.07</v>
      </c>
      <c r="G2393" s="436">
        <f t="shared" si="66"/>
        <v>22541.95</v>
      </c>
    </row>
    <row r="2394" spans="2:7" ht="30" hidden="1" outlineLevel="3">
      <c r="B2394" s="330" t="s">
        <v>3269</v>
      </c>
      <c r="C2394" s="121" t="s">
        <v>3270</v>
      </c>
      <c r="D2394" s="332" t="s">
        <v>64</v>
      </c>
      <c r="E2394" s="332">
        <v>85.37</v>
      </c>
      <c r="F2394" s="325">
        <v>307.08999999999997</v>
      </c>
      <c r="G2394" s="436">
        <f t="shared" si="66"/>
        <v>26216.27</v>
      </c>
    </row>
    <row r="2395" spans="2:7" ht="30" hidden="1" outlineLevel="3">
      <c r="B2395" s="330" t="s">
        <v>3271</v>
      </c>
      <c r="C2395" s="121" t="s">
        <v>3272</v>
      </c>
      <c r="D2395" s="332" t="s">
        <v>64</v>
      </c>
      <c r="E2395" s="332">
        <v>103.44</v>
      </c>
      <c r="F2395" s="325">
        <v>123.93</v>
      </c>
      <c r="G2395" s="436">
        <f t="shared" si="66"/>
        <v>12819.32</v>
      </c>
    </row>
    <row r="2396" spans="2:7" ht="30" hidden="1" outlineLevel="3">
      <c r="B2396" s="330" t="s">
        <v>3273</v>
      </c>
      <c r="C2396" s="121" t="s">
        <v>3274</v>
      </c>
      <c r="D2396" s="332" t="s">
        <v>64</v>
      </c>
      <c r="E2396" s="332">
        <v>54.39</v>
      </c>
      <c r="F2396" s="325">
        <v>141.61000000000001</v>
      </c>
      <c r="G2396" s="436">
        <f t="shared" si="66"/>
        <v>7702.17</v>
      </c>
    </row>
    <row r="2397" spans="2:7" ht="30" hidden="1" outlineLevel="3">
      <c r="B2397" s="330" t="s">
        <v>3275</v>
      </c>
      <c r="C2397" s="121" t="s">
        <v>3276</v>
      </c>
      <c r="D2397" s="332" t="s">
        <v>64</v>
      </c>
      <c r="E2397" s="332">
        <v>83.24</v>
      </c>
      <c r="F2397" s="325">
        <v>332.63</v>
      </c>
      <c r="G2397" s="436">
        <f t="shared" si="66"/>
        <v>27688.12</v>
      </c>
    </row>
    <row r="2398" spans="2:7" hidden="1" outlineLevel="3">
      <c r="B2398" s="330" t="s">
        <v>3277</v>
      </c>
      <c r="C2398" s="121" t="s">
        <v>3278</v>
      </c>
      <c r="D2398" s="332" t="s">
        <v>1872</v>
      </c>
      <c r="E2398" s="332">
        <v>1</v>
      </c>
      <c r="F2398" s="325">
        <v>14415.95</v>
      </c>
      <c r="G2398" s="436">
        <f t="shared" si="66"/>
        <v>14415.95</v>
      </c>
    </row>
    <row r="2399" spans="2:7" ht="30" hidden="1" outlineLevel="3">
      <c r="B2399" s="330" t="s">
        <v>3279</v>
      </c>
      <c r="C2399" s="121" t="s">
        <v>3280</v>
      </c>
      <c r="D2399" s="332" t="s">
        <v>1872</v>
      </c>
      <c r="E2399" s="332">
        <v>1</v>
      </c>
      <c r="F2399" s="325">
        <v>2920.55</v>
      </c>
      <c r="G2399" s="436">
        <f t="shared" si="66"/>
        <v>2920.55</v>
      </c>
    </row>
    <row r="2400" spans="2:7" hidden="1" outlineLevel="3">
      <c r="B2400" s="331" t="s">
        <v>3281</v>
      </c>
      <c r="C2400" s="324" t="s">
        <v>2977</v>
      </c>
      <c r="D2400" s="332"/>
      <c r="E2400" s="332"/>
      <c r="F2400" s="325"/>
      <c r="G2400" s="435">
        <f>+SUBTOTAL(9,G2401:G2407)</f>
        <v>63128.5</v>
      </c>
    </row>
    <row r="2401" spans="2:7" hidden="1" outlineLevel="3">
      <c r="B2401" s="331" t="s">
        <v>3282</v>
      </c>
      <c r="C2401" s="324" t="s">
        <v>2979</v>
      </c>
      <c r="D2401" s="332"/>
      <c r="E2401" s="332"/>
      <c r="F2401" s="325"/>
      <c r="G2401" s="435">
        <f>+SUBTOTAL(9,G2402:G2403)</f>
        <v>36913</v>
      </c>
    </row>
    <row r="2402" spans="2:7" hidden="1" outlineLevel="3">
      <c r="B2402" s="330" t="s">
        <v>3283</v>
      </c>
      <c r="C2402" s="121" t="s">
        <v>3284</v>
      </c>
      <c r="D2402" s="332" t="s">
        <v>43</v>
      </c>
      <c r="E2402" s="332">
        <v>3</v>
      </c>
      <c r="F2402" s="325">
        <v>8768.73</v>
      </c>
      <c r="G2402" s="436">
        <f>ROUND(E2402*F2402,2)</f>
        <v>26306.19</v>
      </c>
    </row>
    <row r="2403" spans="2:7" hidden="1" outlineLevel="3">
      <c r="B2403" s="330" t="s">
        <v>3285</v>
      </c>
      <c r="C2403" s="121" t="s">
        <v>3286</v>
      </c>
      <c r="D2403" s="332" t="s">
        <v>43</v>
      </c>
      <c r="E2403" s="332">
        <v>1</v>
      </c>
      <c r="F2403" s="325">
        <v>10606.81</v>
      </c>
      <c r="G2403" s="436">
        <f>ROUND(E2403*F2403,2)</f>
        <v>10606.81</v>
      </c>
    </row>
    <row r="2404" spans="2:7" hidden="1" outlineLevel="3">
      <c r="B2404" s="331" t="s">
        <v>3287</v>
      </c>
      <c r="C2404" s="324" t="s">
        <v>2985</v>
      </c>
      <c r="D2404" s="332"/>
      <c r="E2404" s="332"/>
      <c r="F2404" s="325"/>
      <c r="G2404" s="435">
        <f>+SUBTOTAL(9,G2405:G2407)</f>
        <v>26215.5</v>
      </c>
    </row>
    <row r="2405" spans="2:7" hidden="1" outlineLevel="3">
      <c r="B2405" s="330" t="s">
        <v>3288</v>
      </c>
      <c r="C2405" s="121" t="s">
        <v>2987</v>
      </c>
      <c r="D2405" s="332" t="s">
        <v>43</v>
      </c>
      <c r="E2405" s="332">
        <v>2</v>
      </c>
      <c r="F2405" s="325">
        <v>6141.12</v>
      </c>
      <c r="G2405" s="436">
        <f>ROUND(E2405*F2405,2)</f>
        <v>12282.24</v>
      </c>
    </row>
    <row r="2406" spans="2:7" hidden="1" outlineLevel="3">
      <c r="B2406" s="330" t="s">
        <v>3289</v>
      </c>
      <c r="C2406" s="121" t="s">
        <v>3070</v>
      </c>
      <c r="D2406" s="332" t="s">
        <v>43</v>
      </c>
      <c r="E2406" s="332">
        <v>1</v>
      </c>
      <c r="F2406" s="325">
        <v>7223.86</v>
      </c>
      <c r="G2406" s="436">
        <f>ROUND(E2406*F2406,2)</f>
        <v>7223.86</v>
      </c>
    </row>
    <row r="2407" spans="2:7" hidden="1" outlineLevel="3">
      <c r="B2407" s="330" t="s">
        <v>3290</v>
      </c>
      <c r="C2407" s="121" t="s">
        <v>2989</v>
      </c>
      <c r="D2407" s="332" t="s">
        <v>43</v>
      </c>
      <c r="E2407" s="332">
        <v>1</v>
      </c>
      <c r="F2407" s="325">
        <v>6709.4</v>
      </c>
      <c r="G2407" s="436">
        <f>ROUND(E2407*F2407,2)</f>
        <v>6709.4</v>
      </c>
    </row>
    <row r="2408" spans="2:7" ht="30" outlineLevel="2" collapsed="1">
      <c r="B2408" s="331" t="s">
        <v>3291</v>
      </c>
      <c r="C2408" s="324" t="s">
        <v>3292</v>
      </c>
      <c r="D2408" s="332"/>
      <c r="E2408" s="332"/>
      <c r="F2408" s="325"/>
      <c r="G2408" s="435">
        <f>+SUBTOTAL(9,G2409:G2422)</f>
        <v>258807.78999999998</v>
      </c>
    </row>
    <row r="2409" spans="2:7" hidden="1" outlineLevel="3">
      <c r="B2409" s="331" t="s">
        <v>3293</v>
      </c>
      <c r="C2409" s="324" t="s">
        <v>1585</v>
      </c>
      <c r="D2409" s="332"/>
      <c r="E2409" s="332"/>
      <c r="F2409" s="325"/>
      <c r="G2409" s="435">
        <f>+SUBTOTAL(9,G2410:G2417)</f>
        <v>247367.02</v>
      </c>
    </row>
    <row r="2410" spans="2:7" ht="30" hidden="1" outlineLevel="3">
      <c r="B2410" s="330" t="s">
        <v>3294</v>
      </c>
      <c r="C2410" s="121" t="s">
        <v>3215</v>
      </c>
      <c r="D2410" s="332" t="s">
        <v>64</v>
      </c>
      <c r="E2410" s="332">
        <v>193.76</v>
      </c>
      <c r="F2410" s="325">
        <v>176.55</v>
      </c>
      <c r="G2410" s="436">
        <f t="shared" ref="G2410:G2417" si="67">ROUND(E2410*F2410,2)</f>
        <v>34208.33</v>
      </c>
    </row>
    <row r="2411" spans="2:7" ht="30" hidden="1" outlineLevel="3">
      <c r="B2411" s="330" t="s">
        <v>3295</v>
      </c>
      <c r="C2411" s="121" t="s">
        <v>3217</v>
      </c>
      <c r="D2411" s="332" t="s">
        <v>64</v>
      </c>
      <c r="E2411" s="332">
        <v>169.17</v>
      </c>
      <c r="F2411" s="325">
        <v>200</v>
      </c>
      <c r="G2411" s="436">
        <f t="shared" si="67"/>
        <v>33834</v>
      </c>
    </row>
    <row r="2412" spans="2:7" ht="30" hidden="1" outlineLevel="3">
      <c r="B2412" s="330" t="s">
        <v>3296</v>
      </c>
      <c r="C2412" s="121" t="s">
        <v>3219</v>
      </c>
      <c r="D2412" s="332" t="s">
        <v>64</v>
      </c>
      <c r="E2412" s="332">
        <v>98.1</v>
      </c>
      <c r="F2412" s="325">
        <v>759.07</v>
      </c>
      <c r="G2412" s="436">
        <f t="shared" si="67"/>
        <v>74464.77</v>
      </c>
    </row>
    <row r="2413" spans="2:7" ht="30" hidden="1" outlineLevel="3">
      <c r="B2413" s="330" t="s">
        <v>3297</v>
      </c>
      <c r="C2413" s="121" t="s">
        <v>3221</v>
      </c>
      <c r="D2413" s="332" t="s">
        <v>64</v>
      </c>
      <c r="E2413" s="332">
        <v>33.96</v>
      </c>
      <c r="F2413" s="325">
        <v>227.03</v>
      </c>
      <c r="G2413" s="436">
        <f t="shared" si="67"/>
        <v>7709.94</v>
      </c>
    </row>
    <row r="2414" spans="2:7" ht="30" hidden="1" outlineLevel="3">
      <c r="B2414" s="330" t="s">
        <v>3298</v>
      </c>
      <c r="C2414" s="121" t="s">
        <v>3223</v>
      </c>
      <c r="D2414" s="332" t="s">
        <v>64</v>
      </c>
      <c r="E2414" s="332">
        <v>82.09</v>
      </c>
      <c r="F2414" s="325">
        <v>250.47</v>
      </c>
      <c r="G2414" s="436">
        <f t="shared" si="67"/>
        <v>20561.080000000002</v>
      </c>
    </row>
    <row r="2415" spans="2:7" ht="30" hidden="1" outlineLevel="3">
      <c r="B2415" s="330" t="s">
        <v>3299</v>
      </c>
      <c r="C2415" s="121" t="s">
        <v>3225</v>
      </c>
      <c r="D2415" s="332" t="s">
        <v>64</v>
      </c>
      <c r="E2415" s="332">
        <v>53.79</v>
      </c>
      <c r="F2415" s="325">
        <v>809.54</v>
      </c>
      <c r="G2415" s="436">
        <f t="shared" si="67"/>
        <v>43545.16</v>
      </c>
    </row>
    <row r="2416" spans="2:7" hidden="1" outlineLevel="3">
      <c r="B2416" s="330" t="s">
        <v>3300</v>
      </c>
      <c r="C2416" s="121" t="s">
        <v>3301</v>
      </c>
      <c r="D2416" s="332" t="s">
        <v>1872</v>
      </c>
      <c r="E2416" s="332">
        <v>1</v>
      </c>
      <c r="F2416" s="325">
        <v>23154.53</v>
      </c>
      <c r="G2416" s="436">
        <f t="shared" si="67"/>
        <v>23154.53</v>
      </c>
    </row>
    <row r="2417" spans="2:7" ht="30" hidden="1" outlineLevel="3">
      <c r="B2417" s="330" t="s">
        <v>3302</v>
      </c>
      <c r="C2417" s="121" t="s">
        <v>3303</v>
      </c>
      <c r="D2417" s="332" t="s">
        <v>1872</v>
      </c>
      <c r="E2417" s="332">
        <v>1</v>
      </c>
      <c r="F2417" s="325">
        <v>9889.2099999999991</v>
      </c>
      <c r="G2417" s="436">
        <f t="shared" si="67"/>
        <v>9889.2099999999991</v>
      </c>
    </row>
    <row r="2418" spans="2:7" hidden="1" outlineLevel="3">
      <c r="B2418" s="331" t="s">
        <v>3304</v>
      </c>
      <c r="C2418" s="324" t="s">
        <v>2977</v>
      </c>
      <c r="D2418" s="332"/>
      <c r="E2418" s="332"/>
      <c r="F2418" s="325"/>
      <c r="G2418" s="435">
        <f>+SUBTOTAL(9,G2419:G2422)</f>
        <v>11440.77</v>
      </c>
    </row>
    <row r="2419" spans="2:7" hidden="1" outlineLevel="3">
      <c r="B2419" s="331" t="s">
        <v>3305</v>
      </c>
      <c r="C2419" s="324" t="s">
        <v>2979</v>
      </c>
      <c r="D2419" s="332"/>
      <c r="E2419" s="332"/>
      <c r="F2419" s="325"/>
      <c r="G2419" s="435">
        <f>+SUBTOTAL(9,G2420)</f>
        <v>4216.91</v>
      </c>
    </row>
    <row r="2420" spans="2:7" hidden="1" outlineLevel="3">
      <c r="B2420" s="330" t="s">
        <v>3306</v>
      </c>
      <c r="C2420" s="121" t="s">
        <v>3198</v>
      </c>
      <c r="D2420" s="332" t="s">
        <v>43</v>
      </c>
      <c r="E2420" s="332">
        <v>1</v>
      </c>
      <c r="F2420" s="325">
        <v>4216.91</v>
      </c>
      <c r="G2420" s="436">
        <f>ROUND(E2420*F2420,2)</f>
        <v>4216.91</v>
      </c>
    </row>
    <row r="2421" spans="2:7" hidden="1" outlineLevel="3">
      <c r="B2421" s="331" t="s">
        <v>3307</v>
      </c>
      <c r="C2421" s="324" t="s">
        <v>2985</v>
      </c>
      <c r="D2421" s="332"/>
      <c r="E2421" s="332"/>
      <c r="F2421" s="325"/>
      <c r="G2421" s="435">
        <f>+SUBTOTAL(9,G2422)</f>
        <v>7223.86</v>
      </c>
    </row>
    <row r="2422" spans="2:7" hidden="1" outlineLevel="3">
      <c r="B2422" s="330" t="s">
        <v>3308</v>
      </c>
      <c r="C2422" s="121" t="s">
        <v>3070</v>
      </c>
      <c r="D2422" s="332" t="s">
        <v>43</v>
      </c>
      <c r="E2422" s="332">
        <v>1</v>
      </c>
      <c r="F2422" s="325">
        <v>7223.86</v>
      </c>
      <c r="G2422" s="436">
        <f>ROUND(E2422*F2422,2)</f>
        <v>7223.86</v>
      </c>
    </row>
    <row r="2423" spans="2:7" ht="30" outlineLevel="2" collapsed="1">
      <c r="B2423" s="331" t="s">
        <v>3309</v>
      </c>
      <c r="C2423" s="324" t="s">
        <v>3310</v>
      </c>
      <c r="D2423" s="332"/>
      <c r="E2423" s="332"/>
      <c r="F2423" s="325"/>
      <c r="G2423" s="435">
        <f>+SUBTOTAL(9,G2424:G2447)</f>
        <v>827711.02</v>
      </c>
    </row>
    <row r="2424" spans="2:7" hidden="1" outlineLevel="3">
      <c r="B2424" s="331" t="s">
        <v>3311</v>
      </c>
      <c r="C2424" s="324" t="s">
        <v>2954</v>
      </c>
      <c r="D2424" s="332"/>
      <c r="E2424" s="332"/>
      <c r="F2424" s="325"/>
      <c r="G2424" s="435">
        <f>+SUBTOTAL(9,G2425:G2426)</f>
        <v>101888.89</v>
      </c>
    </row>
    <row r="2425" spans="2:7" hidden="1" outlineLevel="3">
      <c r="B2425" s="330" t="s">
        <v>3312</v>
      </c>
      <c r="C2425" s="121" t="s">
        <v>3038</v>
      </c>
      <c r="D2425" s="332" t="s">
        <v>57</v>
      </c>
      <c r="E2425" s="332">
        <v>402.26</v>
      </c>
      <c r="F2425" s="325">
        <v>160.06</v>
      </c>
      <c r="G2425" s="436">
        <f>ROUND(E2425*F2425,2)</f>
        <v>64385.74</v>
      </c>
    </row>
    <row r="2426" spans="2:7" hidden="1" outlineLevel="3">
      <c r="B2426" s="330" t="s">
        <v>3313</v>
      </c>
      <c r="C2426" s="121" t="s">
        <v>2956</v>
      </c>
      <c r="D2426" s="332" t="s">
        <v>57</v>
      </c>
      <c r="E2426" s="332">
        <v>203.06</v>
      </c>
      <c r="F2426" s="325">
        <v>184.69</v>
      </c>
      <c r="G2426" s="436">
        <f>ROUND(E2426*F2426,2)</f>
        <v>37503.15</v>
      </c>
    </row>
    <row r="2427" spans="2:7" hidden="1" outlineLevel="3">
      <c r="B2427" s="331" t="s">
        <v>3314</v>
      </c>
      <c r="C2427" s="324" t="s">
        <v>1585</v>
      </c>
      <c r="D2427" s="332"/>
      <c r="E2427" s="332"/>
      <c r="F2427" s="325"/>
      <c r="G2427" s="435">
        <f>+SUBTOTAL(9,G2428:G2435)</f>
        <v>676839.36</v>
      </c>
    </row>
    <row r="2428" spans="2:7" hidden="1" outlineLevel="3">
      <c r="B2428" s="330" t="s">
        <v>3315</v>
      </c>
      <c r="C2428" s="121" t="s">
        <v>3170</v>
      </c>
      <c r="D2428" s="332" t="s">
        <v>64</v>
      </c>
      <c r="E2428" s="332">
        <v>764.33</v>
      </c>
      <c r="F2428" s="325">
        <v>228.92</v>
      </c>
      <c r="G2428" s="436">
        <f t="shared" ref="G2428:G2435" si="68">ROUND(E2428*F2428,2)</f>
        <v>174970.42</v>
      </c>
    </row>
    <row r="2429" spans="2:7" hidden="1" outlineLevel="3">
      <c r="B2429" s="330" t="s">
        <v>3316</v>
      </c>
      <c r="C2429" s="121" t="s">
        <v>3172</v>
      </c>
      <c r="D2429" s="332" t="s">
        <v>64</v>
      </c>
      <c r="E2429" s="332">
        <v>64.59</v>
      </c>
      <c r="F2429" s="325">
        <v>234.88</v>
      </c>
      <c r="G2429" s="436">
        <f t="shared" si="68"/>
        <v>15170.9</v>
      </c>
    </row>
    <row r="2430" spans="2:7" hidden="1" outlineLevel="3">
      <c r="B2430" s="330" t="s">
        <v>3317</v>
      </c>
      <c r="C2430" s="121" t="s">
        <v>3174</v>
      </c>
      <c r="D2430" s="332" t="s">
        <v>64</v>
      </c>
      <c r="E2430" s="332">
        <v>143.16</v>
      </c>
      <c r="F2430" s="325">
        <v>793.65</v>
      </c>
      <c r="G2430" s="436">
        <f t="shared" si="68"/>
        <v>113618.93</v>
      </c>
    </row>
    <row r="2431" spans="2:7" ht="30" hidden="1" outlineLevel="3">
      <c r="B2431" s="330" t="s">
        <v>3318</v>
      </c>
      <c r="C2431" s="121" t="s">
        <v>3179</v>
      </c>
      <c r="D2431" s="332" t="s">
        <v>64</v>
      </c>
      <c r="E2431" s="332">
        <v>521.03</v>
      </c>
      <c r="F2431" s="325">
        <v>279.39999999999998</v>
      </c>
      <c r="G2431" s="436">
        <f t="shared" si="68"/>
        <v>145575.78</v>
      </c>
    </row>
    <row r="2432" spans="2:7" ht="30" hidden="1" outlineLevel="3">
      <c r="B2432" s="330" t="s">
        <v>3319</v>
      </c>
      <c r="C2432" s="121" t="s">
        <v>3181</v>
      </c>
      <c r="D2432" s="332" t="s">
        <v>64</v>
      </c>
      <c r="E2432" s="332">
        <v>82.28</v>
      </c>
      <c r="F2432" s="325">
        <v>285.35000000000002</v>
      </c>
      <c r="G2432" s="436">
        <f t="shared" si="68"/>
        <v>23478.6</v>
      </c>
    </row>
    <row r="2433" spans="2:8" ht="30" hidden="1" outlineLevel="3">
      <c r="B2433" s="330" t="s">
        <v>3320</v>
      </c>
      <c r="C2433" s="121" t="s">
        <v>3183</v>
      </c>
      <c r="D2433" s="332" t="s">
        <v>64</v>
      </c>
      <c r="E2433" s="332">
        <v>147.31</v>
      </c>
      <c r="F2433" s="325">
        <v>844.13</v>
      </c>
      <c r="G2433" s="436">
        <f t="shared" si="68"/>
        <v>124348.79</v>
      </c>
    </row>
    <row r="2434" spans="2:8" hidden="1" outlineLevel="3">
      <c r="B2434" s="330" t="s">
        <v>3321</v>
      </c>
      <c r="C2434" s="121" t="s">
        <v>3322</v>
      </c>
      <c r="D2434" s="332" t="s">
        <v>1872</v>
      </c>
      <c r="E2434" s="332">
        <v>1</v>
      </c>
      <c r="F2434" s="325">
        <v>12842.49</v>
      </c>
      <c r="G2434" s="436">
        <f t="shared" si="68"/>
        <v>12842.49</v>
      </c>
    </row>
    <row r="2435" spans="2:8" ht="30" hidden="1" outlineLevel="3">
      <c r="B2435" s="330" t="s">
        <v>3323</v>
      </c>
      <c r="C2435" s="121" t="s">
        <v>3324</v>
      </c>
      <c r="D2435" s="332" t="s">
        <v>1872</v>
      </c>
      <c r="E2435" s="332">
        <v>1</v>
      </c>
      <c r="F2435" s="325">
        <v>66833.45</v>
      </c>
      <c r="G2435" s="436">
        <f t="shared" si="68"/>
        <v>66833.45</v>
      </c>
    </row>
    <row r="2436" spans="2:8" hidden="1" outlineLevel="3">
      <c r="B2436" s="331" t="s">
        <v>3325</v>
      </c>
      <c r="C2436" s="324" t="s">
        <v>2977</v>
      </c>
      <c r="D2436" s="332"/>
      <c r="E2436" s="332"/>
      <c r="F2436" s="325"/>
      <c r="G2436" s="435">
        <f>+SUBTOTAL(9,G2437:G2445)</f>
        <v>47490.59</v>
      </c>
    </row>
    <row r="2437" spans="2:8" hidden="1" outlineLevel="3">
      <c r="B2437" s="331" t="s">
        <v>3326</v>
      </c>
      <c r="C2437" s="324" t="s">
        <v>2979</v>
      </c>
      <c r="D2437" s="332"/>
      <c r="E2437" s="332"/>
      <c r="F2437" s="325"/>
      <c r="G2437" s="435">
        <f>+SUBTOTAL(9,G2438:G2440)</f>
        <v>20480.64</v>
      </c>
    </row>
    <row r="2438" spans="2:8" hidden="1" outlineLevel="3">
      <c r="B2438" s="330" t="s">
        <v>3327</v>
      </c>
      <c r="C2438" s="121" t="s">
        <v>3195</v>
      </c>
      <c r="D2438" s="332" t="s">
        <v>43</v>
      </c>
      <c r="E2438" s="332">
        <v>2</v>
      </c>
      <c r="F2438" s="325">
        <v>1241.33</v>
      </c>
      <c r="G2438" s="436">
        <f>ROUND(E2438*F2438,2)</f>
        <v>2482.66</v>
      </c>
    </row>
    <row r="2439" spans="2:8" hidden="1" outlineLevel="3">
      <c r="B2439" s="330" t="s">
        <v>3328</v>
      </c>
      <c r="C2439" s="121" t="s">
        <v>3198</v>
      </c>
      <c r="D2439" s="332" t="s">
        <v>43</v>
      </c>
      <c r="E2439" s="332">
        <v>2</v>
      </c>
      <c r="F2439" s="325">
        <v>4216.91</v>
      </c>
      <c r="G2439" s="436">
        <f>ROUND(E2439*F2439,2)</f>
        <v>8433.82</v>
      </c>
    </row>
    <row r="2440" spans="2:8" hidden="1" outlineLevel="3">
      <c r="B2440" s="330" t="s">
        <v>3329</v>
      </c>
      <c r="C2440" s="121" t="s">
        <v>3202</v>
      </c>
      <c r="D2440" s="332" t="s">
        <v>43</v>
      </c>
      <c r="E2440" s="332">
        <v>2</v>
      </c>
      <c r="F2440" s="325">
        <v>4782.08</v>
      </c>
      <c r="G2440" s="436">
        <f>ROUND(E2440*F2440,2)</f>
        <v>9564.16</v>
      </c>
    </row>
    <row r="2441" spans="2:8" hidden="1" outlineLevel="3">
      <c r="B2441" s="331" t="s">
        <v>3330</v>
      </c>
      <c r="C2441" s="324" t="s">
        <v>2985</v>
      </c>
      <c r="D2441" s="332"/>
      <c r="E2441" s="332"/>
      <c r="F2441" s="325"/>
      <c r="G2441" s="435">
        <f>+SUBTOTAL(9,G2442:G2445)</f>
        <v>27009.949999999997</v>
      </c>
    </row>
    <row r="2442" spans="2:8" hidden="1" outlineLevel="3">
      <c r="B2442" s="330" t="s">
        <v>3331</v>
      </c>
      <c r="C2442" s="121" t="s">
        <v>2987</v>
      </c>
      <c r="D2442" s="332" t="s">
        <v>43</v>
      </c>
      <c r="E2442" s="332">
        <v>1</v>
      </c>
      <c r="F2442" s="325">
        <v>6141.12</v>
      </c>
      <c r="G2442" s="436">
        <f>ROUND(E2442*F2442,2)</f>
        <v>6141.12</v>
      </c>
    </row>
    <row r="2443" spans="2:8" hidden="1" outlineLevel="3">
      <c r="B2443" s="330" t="s">
        <v>3332</v>
      </c>
      <c r="C2443" s="121" t="s">
        <v>3070</v>
      </c>
      <c r="D2443" s="332" t="s">
        <v>43</v>
      </c>
      <c r="E2443" s="332">
        <v>1</v>
      </c>
      <c r="F2443" s="325">
        <v>7223.86</v>
      </c>
      <c r="G2443" s="436">
        <f>ROUND(E2443*F2443,2)</f>
        <v>7223.86</v>
      </c>
    </row>
    <row r="2444" spans="2:8" hidden="1" outlineLevel="3">
      <c r="B2444" s="330" t="s">
        <v>3333</v>
      </c>
      <c r="C2444" s="121" t="s">
        <v>2989</v>
      </c>
      <c r="D2444" s="332" t="s">
        <v>43</v>
      </c>
      <c r="E2444" s="332">
        <v>1</v>
      </c>
      <c r="F2444" s="325">
        <v>6709.4</v>
      </c>
      <c r="G2444" s="436">
        <f>ROUND(E2444*F2444,2)</f>
        <v>6709.4</v>
      </c>
    </row>
    <row r="2445" spans="2:8" hidden="1" outlineLevel="3">
      <c r="B2445" s="330" t="s">
        <v>3334</v>
      </c>
      <c r="C2445" s="121" t="s">
        <v>3073</v>
      </c>
      <c r="D2445" s="332" t="s">
        <v>43</v>
      </c>
      <c r="E2445" s="332">
        <v>1</v>
      </c>
      <c r="F2445" s="325">
        <v>6935.57</v>
      </c>
      <c r="G2445" s="436">
        <f>ROUND(E2445*F2445,2)</f>
        <v>6935.57</v>
      </c>
    </row>
    <row r="2446" spans="2:8" hidden="1" outlineLevel="3">
      <c r="B2446" s="331" t="s">
        <v>3335</v>
      </c>
      <c r="C2446" s="324" t="s">
        <v>1600</v>
      </c>
      <c r="D2446" s="332"/>
      <c r="E2446" s="332"/>
      <c r="F2446" s="325"/>
      <c r="G2446" s="435">
        <f>+SUBTOTAL(9,G2447)</f>
        <v>1492.18</v>
      </c>
    </row>
    <row r="2447" spans="2:8" hidden="1" outlineLevel="3">
      <c r="B2447" s="330" t="s">
        <v>3336</v>
      </c>
      <c r="C2447" s="121" t="s">
        <v>3337</v>
      </c>
      <c r="D2447" s="332" t="s">
        <v>43</v>
      </c>
      <c r="E2447" s="332">
        <v>1</v>
      </c>
      <c r="F2447" s="325">
        <v>1492.18</v>
      </c>
      <c r="G2447" s="436">
        <f>ROUND(E2447*F2447,2)</f>
        <v>1492.18</v>
      </c>
    </row>
    <row r="2448" spans="2:8" outlineLevel="1">
      <c r="B2448" s="331">
        <v>3.03</v>
      </c>
      <c r="C2448" s="324" t="s">
        <v>3338</v>
      </c>
      <c r="D2448" s="332"/>
      <c r="E2448" s="332"/>
      <c r="F2448" s="325"/>
      <c r="G2448" s="435">
        <f>+SUBTOTAL(9,G2449:G2672)</f>
        <v>10930279.930000013</v>
      </c>
      <c r="H2448" s="120"/>
    </row>
    <row r="2449" spans="2:7" outlineLevel="2">
      <c r="B2449" s="331" t="s">
        <v>3339</v>
      </c>
      <c r="C2449" s="324" t="s">
        <v>3340</v>
      </c>
      <c r="D2449" s="332"/>
      <c r="E2449" s="332"/>
      <c r="F2449" s="325"/>
      <c r="G2449" s="435">
        <f>+SUBTOTAL(9,G2450:G2527)</f>
        <v>3487864.3800000008</v>
      </c>
    </row>
    <row r="2450" spans="2:7" outlineLevel="3">
      <c r="B2450" s="331" t="s">
        <v>3341</v>
      </c>
      <c r="C2450" s="324" t="s">
        <v>1600</v>
      </c>
      <c r="D2450" s="332"/>
      <c r="E2450" s="332"/>
      <c r="F2450" s="325"/>
      <c r="G2450" s="435">
        <f>+SUBTOTAL(9,G2451:G2454)</f>
        <v>15889.099999999999</v>
      </c>
    </row>
    <row r="2451" spans="2:7" outlineLevel="3">
      <c r="B2451" s="330" t="s">
        <v>3342</v>
      </c>
      <c r="C2451" s="121" t="s">
        <v>3343</v>
      </c>
      <c r="D2451" s="332" t="s">
        <v>43</v>
      </c>
      <c r="E2451" s="332">
        <v>11</v>
      </c>
      <c r="F2451" s="325">
        <v>723.51</v>
      </c>
      <c r="G2451" s="436">
        <f>ROUND(E2451*F2451,2)</f>
        <v>7958.61</v>
      </c>
    </row>
    <row r="2452" spans="2:7" outlineLevel="3">
      <c r="B2452" s="330" t="s">
        <v>3344</v>
      </c>
      <c r="C2452" s="121" t="s">
        <v>3345</v>
      </c>
      <c r="D2452" s="332" t="s">
        <v>43</v>
      </c>
      <c r="E2452" s="332">
        <v>3</v>
      </c>
      <c r="F2452" s="325">
        <v>42.052999999999997</v>
      </c>
      <c r="G2452" s="436">
        <f>ROUND(E2452*F2452,2)</f>
        <v>126.16</v>
      </c>
    </row>
    <row r="2453" spans="2:7" outlineLevel="3">
      <c r="B2453" s="330" t="s">
        <v>3346</v>
      </c>
      <c r="C2453" s="121" t="s">
        <v>3347</v>
      </c>
      <c r="D2453" s="332" t="s">
        <v>43</v>
      </c>
      <c r="E2453" s="332">
        <v>76</v>
      </c>
      <c r="F2453" s="325">
        <v>99.61</v>
      </c>
      <c r="G2453" s="436">
        <f>ROUND(E2453*F2453,2)</f>
        <v>7570.36</v>
      </c>
    </row>
    <row r="2454" spans="2:7" outlineLevel="3">
      <c r="B2454" s="330" t="s">
        <v>3348</v>
      </c>
      <c r="C2454" s="121" t="s">
        <v>1602</v>
      </c>
      <c r="D2454" s="332" t="s">
        <v>43</v>
      </c>
      <c r="E2454" s="332">
        <v>3</v>
      </c>
      <c r="F2454" s="325">
        <v>77.989999999999995</v>
      </c>
      <c r="G2454" s="436">
        <f>ROUND(E2454*F2454,2)</f>
        <v>233.97</v>
      </c>
    </row>
    <row r="2455" spans="2:7" outlineLevel="3">
      <c r="B2455" s="331" t="s">
        <v>3349</v>
      </c>
      <c r="C2455" s="324" t="s">
        <v>1585</v>
      </c>
      <c r="D2455" s="332"/>
      <c r="E2455" s="332"/>
      <c r="F2455" s="325"/>
      <c r="G2455" s="435">
        <f>+SUBTOTAL(9,G2456:G2468)</f>
        <v>1279438.98</v>
      </c>
    </row>
    <row r="2456" spans="2:7" ht="15" customHeight="1" outlineLevel="3">
      <c r="B2456" s="330" t="s">
        <v>3350</v>
      </c>
      <c r="C2456" s="121" t="s">
        <v>3351</v>
      </c>
      <c r="D2456" s="332" t="s">
        <v>64</v>
      </c>
      <c r="E2456" s="327">
        <v>9438.9</v>
      </c>
      <c r="F2456" s="325">
        <v>29.23</v>
      </c>
      <c r="G2456" s="436">
        <f t="shared" ref="G2456:G2468" si="69">ROUND(E2456*F2456,2)</f>
        <v>275899.05</v>
      </c>
    </row>
    <row r="2457" spans="2:7" ht="15" customHeight="1" outlineLevel="3">
      <c r="B2457" s="330" t="s">
        <v>3352</v>
      </c>
      <c r="C2457" s="121" t="s">
        <v>3353</v>
      </c>
      <c r="D2457" s="332" t="s">
        <v>64</v>
      </c>
      <c r="E2457" s="332">
        <v>242.32</v>
      </c>
      <c r="F2457" s="325">
        <v>40.68</v>
      </c>
      <c r="G2457" s="436">
        <f t="shared" si="69"/>
        <v>9857.58</v>
      </c>
    </row>
    <row r="2458" spans="2:7" ht="15" customHeight="1" outlineLevel="3">
      <c r="B2458" s="330" t="s">
        <v>3354</v>
      </c>
      <c r="C2458" s="121" t="s">
        <v>3355</v>
      </c>
      <c r="D2458" s="332" t="s">
        <v>64</v>
      </c>
      <c r="E2458" s="332">
        <v>813.5</v>
      </c>
      <c r="F2458" s="325">
        <v>153.21</v>
      </c>
      <c r="G2458" s="436">
        <f t="shared" si="69"/>
        <v>124636.34</v>
      </c>
    </row>
    <row r="2459" spans="2:7" ht="15" customHeight="1" outlineLevel="3">
      <c r="B2459" s="330" t="s">
        <v>3356</v>
      </c>
      <c r="C2459" s="121" t="s">
        <v>3357</v>
      </c>
      <c r="D2459" s="332" t="s">
        <v>64</v>
      </c>
      <c r="E2459" s="327">
        <v>3500.92</v>
      </c>
      <c r="F2459" s="325">
        <v>35.549999999999997</v>
      </c>
      <c r="G2459" s="436">
        <f t="shared" si="69"/>
        <v>124457.71</v>
      </c>
    </row>
    <row r="2460" spans="2:7" ht="15" customHeight="1" outlineLevel="3">
      <c r="B2460" s="330" t="s">
        <v>3358</v>
      </c>
      <c r="C2460" s="121" t="s">
        <v>3359</v>
      </c>
      <c r="D2460" s="332" t="s">
        <v>64</v>
      </c>
      <c r="E2460" s="332">
        <v>189.79</v>
      </c>
      <c r="F2460" s="325">
        <v>47</v>
      </c>
      <c r="G2460" s="436">
        <f t="shared" si="69"/>
        <v>8920.1299999999992</v>
      </c>
    </row>
    <row r="2461" spans="2:7" ht="15" customHeight="1" outlineLevel="3">
      <c r="B2461" s="330" t="s">
        <v>3360</v>
      </c>
      <c r="C2461" s="121" t="s">
        <v>3361</v>
      </c>
      <c r="D2461" s="332" t="s">
        <v>64</v>
      </c>
      <c r="E2461" s="327">
        <v>1164.1300000000001</v>
      </c>
      <c r="F2461" s="325">
        <v>159.53</v>
      </c>
      <c r="G2461" s="436">
        <f t="shared" si="69"/>
        <v>185713.66</v>
      </c>
    </row>
    <row r="2462" spans="2:7" ht="15" customHeight="1" outlineLevel="3">
      <c r="B2462" s="330" t="s">
        <v>3362</v>
      </c>
      <c r="C2462" s="121" t="s">
        <v>3363</v>
      </c>
      <c r="D2462" s="332" t="s">
        <v>64</v>
      </c>
      <c r="E2462" s="332">
        <v>21.4</v>
      </c>
      <c r="F2462" s="325">
        <v>54.84</v>
      </c>
      <c r="G2462" s="436">
        <f t="shared" si="69"/>
        <v>1173.58</v>
      </c>
    </row>
    <row r="2463" spans="2:7" ht="15" customHeight="1" outlineLevel="3">
      <c r="B2463" s="330" t="s">
        <v>3364</v>
      </c>
      <c r="C2463" s="121" t="s">
        <v>3365</v>
      </c>
      <c r="D2463" s="332" t="s">
        <v>64</v>
      </c>
      <c r="E2463" s="332">
        <v>26.65</v>
      </c>
      <c r="F2463" s="325">
        <v>195.91</v>
      </c>
      <c r="G2463" s="436">
        <f t="shared" si="69"/>
        <v>5221</v>
      </c>
    </row>
    <row r="2464" spans="2:7" ht="15" customHeight="1" outlineLevel="3">
      <c r="B2464" s="330" t="s">
        <v>3366</v>
      </c>
      <c r="C2464" s="121" t="s">
        <v>3367</v>
      </c>
      <c r="D2464" s="332" t="s">
        <v>64</v>
      </c>
      <c r="E2464" s="327">
        <v>1104.21</v>
      </c>
      <c r="F2464" s="325">
        <v>107.6</v>
      </c>
      <c r="G2464" s="436">
        <f t="shared" si="69"/>
        <v>118813</v>
      </c>
    </row>
    <row r="2465" spans="2:7" ht="15" customHeight="1" outlineLevel="3">
      <c r="B2465" s="330" t="s">
        <v>3368</v>
      </c>
      <c r="C2465" s="121" t="s">
        <v>3369</v>
      </c>
      <c r="D2465" s="332" t="s">
        <v>64</v>
      </c>
      <c r="E2465" s="332">
        <v>987.73</v>
      </c>
      <c r="F2465" s="325">
        <v>137.68</v>
      </c>
      <c r="G2465" s="436">
        <f t="shared" si="69"/>
        <v>135990.67000000001</v>
      </c>
    </row>
    <row r="2466" spans="2:7" ht="15" customHeight="1" outlineLevel="3">
      <c r="B2466" s="330" t="s">
        <v>3370</v>
      </c>
      <c r="C2466" s="121" t="s">
        <v>3371</v>
      </c>
      <c r="D2466" s="332" t="s">
        <v>1872</v>
      </c>
      <c r="E2466" s="332">
        <v>1</v>
      </c>
      <c r="F2466" s="325">
        <v>163754.67000000001</v>
      </c>
      <c r="G2466" s="436">
        <f t="shared" si="69"/>
        <v>163754.67000000001</v>
      </c>
    </row>
    <row r="2467" spans="2:7" ht="15" customHeight="1" outlineLevel="3">
      <c r="B2467" s="330" t="s">
        <v>3372</v>
      </c>
      <c r="C2467" s="121" t="s">
        <v>3373</v>
      </c>
      <c r="D2467" s="332" t="s">
        <v>64</v>
      </c>
      <c r="E2467" s="332">
        <v>164.23</v>
      </c>
      <c r="F2467" s="325">
        <v>43.13</v>
      </c>
      <c r="G2467" s="436">
        <f t="shared" si="69"/>
        <v>7083.24</v>
      </c>
    </row>
    <row r="2468" spans="2:7" ht="15" customHeight="1" outlineLevel="3">
      <c r="B2468" s="330" t="s">
        <v>3374</v>
      </c>
      <c r="C2468" s="121" t="s">
        <v>3375</v>
      </c>
      <c r="D2468" s="332" t="s">
        <v>64</v>
      </c>
      <c r="E2468" s="332">
        <v>844.99</v>
      </c>
      <c r="F2468" s="325">
        <v>139.55000000000001</v>
      </c>
      <c r="G2468" s="436">
        <f t="shared" si="69"/>
        <v>117918.35</v>
      </c>
    </row>
    <row r="2469" spans="2:7" ht="15" customHeight="1" outlineLevel="3">
      <c r="B2469" s="331" t="s">
        <v>3376</v>
      </c>
      <c r="C2469" s="324" t="s">
        <v>3377</v>
      </c>
      <c r="D2469" s="332"/>
      <c r="E2469" s="332"/>
      <c r="F2469" s="325"/>
      <c r="G2469" s="435">
        <f>+SUBTOTAL(9,G2470:G2471)</f>
        <v>30560.06</v>
      </c>
    </row>
    <row r="2470" spans="2:7" ht="15" customHeight="1" outlineLevel="3">
      <c r="B2470" s="330" t="s">
        <v>3378</v>
      </c>
      <c r="C2470" s="121" t="s">
        <v>3379</v>
      </c>
      <c r="D2470" s="332" t="s">
        <v>43</v>
      </c>
      <c r="E2470" s="332">
        <v>6</v>
      </c>
      <c r="F2470" s="325">
        <v>3921.04</v>
      </c>
      <c r="G2470" s="436">
        <f>ROUND(E2470*F2470,2)</f>
        <v>23526.240000000002</v>
      </c>
    </row>
    <row r="2471" spans="2:7" ht="15" customHeight="1" outlineLevel="3">
      <c r="B2471" s="330" t="s">
        <v>3380</v>
      </c>
      <c r="C2471" s="121" t="s">
        <v>3381</v>
      </c>
      <c r="D2471" s="332" t="s">
        <v>43</v>
      </c>
      <c r="E2471" s="332">
        <v>2</v>
      </c>
      <c r="F2471" s="325">
        <v>3516.91</v>
      </c>
      <c r="G2471" s="436">
        <f>ROUND(E2471*F2471,2)</f>
        <v>7033.82</v>
      </c>
    </row>
    <row r="2472" spans="2:7" ht="15" customHeight="1" outlineLevel="3">
      <c r="B2472" s="331" t="s">
        <v>3382</v>
      </c>
      <c r="C2472" s="324" t="s">
        <v>3383</v>
      </c>
      <c r="D2472" s="332"/>
      <c r="E2472" s="332"/>
      <c r="F2472" s="325"/>
      <c r="G2472" s="435">
        <f>+SUBTOTAL(9,G2473:G2476)</f>
        <v>75322.38</v>
      </c>
    </row>
    <row r="2473" spans="2:7" ht="15" customHeight="1" outlineLevel="3">
      <c r="B2473" s="330" t="s">
        <v>3384</v>
      </c>
      <c r="C2473" s="121" t="s">
        <v>3385</v>
      </c>
      <c r="D2473" s="332" t="s">
        <v>43</v>
      </c>
      <c r="E2473" s="332">
        <v>31</v>
      </c>
      <c r="F2473" s="325">
        <v>1038.8499999999999</v>
      </c>
      <c r="G2473" s="436">
        <f>ROUND(E2473*F2473,2)</f>
        <v>32204.35</v>
      </c>
    </row>
    <row r="2474" spans="2:7" ht="15" customHeight="1" outlineLevel="3">
      <c r="B2474" s="330" t="s">
        <v>3386</v>
      </c>
      <c r="C2474" s="121" t="s">
        <v>3387</v>
      </c>
      <c r="D2474" s="332" t="s">
        <v>43</v>
      </c>
      <c r="E2474" s="332">
        <v>22</v>
      </c>
      <c r="F2474" s="325">
        <v>1406.93</v>
      </c>
      <c r="G2474" s="436">
        <f>ROUND(E2474*F2474,2)</f>
        <v>30952.46</v>
      </c>
    </row>
    <row r="2475" spans="2:7" ht="15" customHeight="1" outlineLevel="3">
      <c r="B2475" s="330" t="s">
        <v>3388</v>
      </c>
      <c r="C2475" s="121" t="s">
        <v>3389</v>
      </c>
      <c r="D2475" s="332" t="s">
        <v>43</v>
      </c>
      <c r="E2475" s="332">
        <v>3</v>
      </c>
      <c r="F2475" s="325">
        <v>1602.49</v>
      </c>
      <c r="G2475" s="436">
        <f>ROUND(E2475*F2475,2)</f>
        <v>4807.47</v>
      </c>
    </row>
    <row r="2476" spans="2:7" ht="15" customHeight="1" outlineLevel="3">
      <c r="B2476" s="330" t="s">
        <v>3390</v>
      </c>
      <c r="C2476" s="121" t="s">
        <v>3151</v>
      </c>
      <c r="D2476" s="332" t="s">
        <v>43</v>
      </c>
      <c r="E2476" s="332">
        <v>3</v>
      </c>
      <c r="F2476" s="325">
        <v>2452.6999999999998</v>
      </c>
      <c r="G2476" s="436">
        <f>ROUND(E2476*F2476,2)</f>
        <v>7358.1</v>
      </c>
    </row>
    <row r="2477" spans="2:7" ht="15" customHeight="1" outlineLevel="3">
      <c r="B2477" s="331" t="s">
        <v>3391</v>
      </c>
      <c r="C2477" s="324" t="s">
        <v>2977</v>
      </c>
      <c r="D2477" s="332"/>
      <c r="E2477" s="332"/>
      <c r="F2477" s="325"/>
      <c r="G2477" s="435">
        <f>+SUBTOTAL(9,G2478:G2488)</f>
        <v>403113.23000000004</v>
      </c>
    </row>
    <row r="2478" spans="2:7" ht="15" customHeight="1" outlineLevel="3">
      <c r="B2478" s="331" t="s">
        <v>3392</v>
      </c>
      <c r="C2478" s="324" t="s">
        <v>2979</v>
      </c>
      <c r="D2478" s="332"/>
      <c r="E2478" s="332"/>
      <c r="F2478" s="325"/>
      <c r="G2478" s="435">
        <f>+SUBTOTAL(9,G2479:G2482)</f>
        <v>232757.03000000003</v>
      </c>
    </row>
    <row r="2479" spans="2:7" ht="15" customHeight="1" outlineLevel="3">
      <c r="B2479" s="330" t="s">
        <v>3393</v>
      </c>
      <c r="C2479" s="121" t="s">
        <v>3394</v>
      </c>
      <c r="D2479" s="332" t="s">
        <v>43</v>
      </c>
      <c r="E2479" s="332">
        <v>13</v>
      </c>
      <c r="F2479" s="325">
        <v>8285.73</v>
      </c>
      <c r="G2479" s="436">
        <f>ROUND(E2479*F2479,2)</f>
        <v>107714.49</v>
      </c>
    </row>
    <row r="2480" spans="2:7" ht="15" customHeight="1" outlineLevel="3">
      <c r="B2480" s="330" t="s">
        <v>3395</v>
      </c>
      <c r="C2480" s="121" t="s">
        <v>3396</v>
      </c>
      <c r="D2480" s="332" t="s">
        <v>43</v>
      </c>
      <c r="E2480" s="332">
        <v>4</v>
      </c>
      <c r="F2480" s="325">
        <v>8217.2000000000007</v>
      </c>
      <c r="G2480" s="436">
        <f>ROUND(E2480*F2480,2)</f>
        <v>32868.800000000003</v>
      </c>
    </row>
    <row r="2481" spans="2:7" ht="15" customHeight="1" outlineLevel="3">
      <c r="B2481" s="330" t="s">
        <v>3397</v>
      </c>
      <c r="C2481" s="121" t="s">
        <v>3398</v>
      </c>
      <c r="D2481" s="332" t="s">
        <v>43</v>
      </c>
      <c r="E2481" s="332">
        <v>6</v>
      </c>
      <c r="F2481" s="325">
        <v>10013.959999999999</v>
      </c>
      <c r="G2481" s="436">
        <f>ROUND(E2481*F2481,2)</f>
        <v>60083.76</v>
      </c>
    </row>
    <row r="2482" spans="2:7" ht="15" customHeight="1" outlineLevel="3">
      <c r="B2482" s="330" t="s">
        <v>3399</v>
      </c>
      <c r="C2482" s="121" t="s">
        <v>3400</v>
      </c>
      <c r="D2482" s="332" t="s">
        <v>43</v>
      </c>
      <c r="E2482" s="332">
        <v>3</v>
      </c>
      <c r="F2482" s="325">
        <v>10696.66</v>
      </c>
      <c r="G2482" s="436">
        <f>ROUND(E2482*F2482,2)</f>
        <v>32089.98</v>
      </c>
    </row>
    <row r="2483" spans="2:7" ht="15" customHeight="1" outlineLevel="3">
      <c r="B2483" s="331" t="s">
        <v>3401</v>
      </c>
      <c r="C2483" s="324" t="s">
        <v>2985</v>
      </c>
      <c r="D2483" s="332"/>
      <c r="E2483" s="332"/>
      <c r="F2483" s="325"/>
      <c r="G2483" s="435">
        <f>+SUBTOTAL(9,G2484:G2488)</f>
        <v>170356.2</v>
      </c>
    </row>
    <row r="2484" spans="2:7" ht="15" customHeight="1" outlineLevel="3">
      <c r="B2484" s="330" t="s">
        <v>3402</v>
      </c>
      <c r="C2484" s="121" t="s">
        <v>2987</v>
      </c>
      <c r="D2484" s="332" t="s">
        <v>43</v>
      </c>
      <c r="E2484" s="332">
        <v>13</v>
      </c>
      <c r="F2484" s="325">
        <v>6141.12</v>
      </c>
      <c r="G2484" s="436">
        <f>ROUND(E2484*F2484,2)</f>
        <v>79834.559999999998</v>
      </c>
    </row>
    <row r="2485" spans="2:7" ht="15" customHeight="1" outlineLevel="3">
      <c r="B2485" s="330" t="s">
        <v>3403</v>
      </c>
      <c r="C2485" s="121" t="s">
        <v>3068</v>
      </c>
      <c r="D2485" s="332" t="s">
        <v>43</v>
      </c>
      <c r="E2485" s="332">
        <v>1</v>
      </c>
      <c r="F2485" s="325">
        <v>6348.82</v>
      </c>
      <c r="G2485" s="436">
        <f>ROUND(E2485*F2485,2)</f>
        <v>6348.82</v>
      </c>
    </row>
    <row r="2486" spans="2:7" ht="15" customHeight="1" outlineLevel="3">
      <c r="B2486" s="330" t="s">
        <v>3404</v>
      </c>
      <c r="C2486" s="121" t="s">
        <v>3070</v>
      </c>
      <c r="D2486" s="332" t="s">
        <v>43</v>
      </c>
      <c r="E2486" s="332">
        <v>3</v>
      </c>
      <c r="F2486" s="325">
        <v>7223.86</v>
      </c>
      <c r="G2486" s="436">
        <f>ROUND(E2486*F2486,2)</f>
        <v>21671.58</v>
      </c>
    </row>
    <row r="2487" spans="2:7" ht="15" customHeight="1" outlineLevel="3">
      <c r="B2487" s="330" t="s">
        <v>3405</v>
      </c>
      <c r="C2487" s="121" t="s">
        <v>2989</v>
      </c>
      <c r="D2487" s="332" t="s">
        <v>43</v>
      </c>
      <c r="E2487" s="332">
        <v>7</v>
      </c>
      <c r="F2487" s="325">
        <v>6709.4</v>
      </c>
      <c r="G2487" s="436">
        <f>ROUND(E2487*F2487,2)</f>
        <v>46965.8</v>
      </c>
    </row>
    <row r="2488" spans="2:7" ht="15" customHeight="1" outlineLevel="3">
      <c r="B2488" s="330" t="s">
        <v>3406</v>
      </c>
      <c r="C2488" s="121" t="s">
        <v>3104</v>
      </c>
      <c r="D2488" s="332" t="s">
        <v>43</v>
      </c>
      <c r="E2488" s="332">
        <v>2</v>
      </c>
      <c r="F2488" s="325">
        <v>7767.72</v>
      </c>
      <c r="G2488" s="436">
        <f>ROUND(E2488*F2488,2)</f>
        <v>15535.44</v>
      </c>
    </row>
    <row r="2489" spans="2:7" ht="15" customHeight="1" outlineLevel="3">
      <c r="B2489" s="331" t="s">
        <v>3407</v>
      </c>
      <c r="C2489" s="324" t="s">
        <v>3408</v>
      </c>
      <c r="D2489" s="332"/>
      <c r="E2489" s="332"/>
      <c r="F2489" s="325"/>
      <c r="G2489" s="435">
        <f>+SUBTOTAL(9,G2490:G2520)</f>
        <v>976675.45</v>
      </c>
    </row>
    <row r="2490" spans="2:7" outlineLevel="3">
      <c r="B2490" s="331" t="s">
        <v>3409</v>
      </c>
      <c r="C2490" s="324" t="s">
        <v>2932</v>
      </c>
      <c r="D2490" s="332"/>
      <c r="E2490" s="332"/>
      <c r="F2490" s="325"/>
      <c r="G2490" s="435">
        <f>+SUBTOTAL(9,G2491:G2510)</f>
        <v>620940.68999999994</v>
      </c>
    </row>
    <row r="2491" spans="2:7" outlineLevel="3">
      <c r="B2491" s="330" t="s">
        <v>3410</v>
      </c>
      <c r="C2491" s="121" t="s">
        <v>3411</v>
      </c>
      <c r="D2491" s="332" t="s">
        <v>43</v>
      </c>
      <c r="E2491" s="332">
        <v>1</v>
      </c>
      <c r="F2491" s="325">
        <v>23576.18</v>
      </c>
      <c r="G2491" s="436">
        <f t="shared" ref="G2491:G2510" si="70">ROUND(E2491*F2491,2)</f>
        <v>23576.18</v>
      </c>
    </row>
    <row r="2492" spans="2:7" outlineLevel="3">
      <c r="B2492" s="330" t="s">
        <v>3412</v>
      </c>
      <c r="C2492" s="121" t="s">
        <v>3413</v>
      </c>
      <c r="D2492" s="332" t="s">
        <v>43</v>
      </c>
      <c r="E2492" s="332">
        <v>1</v>
      </c>
      <c r="F2492" s="325">
        <v>23575.21</v>
      </c>
      <c r="G2492" s="436">
        <f t="shared" si="70"/>
        <v>23575.21</v>
      </c>
    </row>
    <row r="2493" spans="2:7" outlineLevel="3">
      <c r="B2493" s="330" t="s">
        <v>3414</v>
      </c>
      <c r="C2493" s="121" t="s">
        <v>3415</v>
      </c>
      <c r="D2493" s="332" t="s">
        <v>43</v>
      </c>
      <c r="E2493" s="332">
        <v>1</v>
      </c>
      <c r="F2493" s="325">
        <v>23749.93</v>
      </c>
      <c r="G2493" s="436">
        <f t="shared" si="70"/>
        <v>23749.93</v>
      </c>
    </row>
    <row r="2494" spans="2:7" outlineLevel="3">
      <c r="B2494" s="330" t="s">
        <v>3416</v>
      </c>
      <c r="C2494" s="121" t="s">
        <v>3417</v>
      </c>
      <c r="D2494" s="332" t="s">
        <v>43</v>
      </c>
      <c r="E2494" s="332">
        <v>1</v>
      </c>
      <c r="F2494" s="325">
        <v>23657.51</v>
      </c>
      <c r="G2494" s="436">
        <f t="shared" si="70"/>
        <v>23657.51</v>
      </c>
    </row>
    <row r="2495" spans="2:7" outlineLevel="3">
      <c r="B2495" s="330" t="s">
        <v>3418</v>
      </c>
      <c r="C2495" s="121" t="s">
        <v>3419</v>
      </c>
      <c r="D2495" s="332" t="s">
        <v>43</v>
      </c>
      <c r="E2495" s="332">
        <v>1</v>
      </c>
      <c r="F2495" s="325">
        <v>23278.61</v>
      </c>
      <c r="G2495" s="436">
        <f t="shared" si="70"/>
        <v>23278.61</v>
      </c>
    </row>
    <row r="2496" spans="2:7" outlineLevel="3">
      <c r="B2496" s="330" t="s">
        <v>3420</v>
      </c>
      <c r="C2496" s="121" t="s">
        <v>3421</v>
      </c>
      <c r="D2496" s="332" t="s">
        <v>43</v>
      </c>
      <c r="E2496" s="332">
        <v>1</v>
      </c>
      <c r="F2496" s="325">
        <v>23576.18</v>
      </c>
      <c r="G2496" s="436">
        <f t="shared" si="70"/>
        <v>23576.18</v>
      </c>
    </row>
    <row r="2497" spans="2:7" outlineLevel="3">
      <c r="B2497" s="330" t="s">
        <v>3422</v>
      </c>
      <c r="C2497" s="121" t="s">
        <v>3423</v>
      </c>
      <c r="D2497" s="332" t="s">
        <v>43</v>
      </c>
      <c r="E2497" s="332">
        <v>1</v>
      </c>
      <c r="F2497" s="325">
        <v>23746.68</v>
      </c>
      <c r="G2497" s="436">
        <f t="shared" si="70"/>
        <v>23746.68</v>
      </c>
    </row>
    <row r="2498" spans="2:7" outlineLevel="3">
      <c r="B2498" s="330" t="s">
        <v>3424</v>
      </c>
      <c r="C2498" s="121" t="s">
        <v>3425</v>
      </c>
      <c r="D2498" s="332" t="s">
        <v>43</v>
      </c>
      <c r="E2498" s="332">
        <v>1</v>
      </c>
      <c r="F2498" s="325">
        <v>27108.54</v>
      </c>
      <c r="G2498" s="436">
        <f t="shared" si="70"/>
        <v>27108.54</v>
      </c>
    </row>
    <row r="2499" spans="2:7" outlineLevel="3">
      <c r="B2499" s="330" t="s">
        <v>3426</v>
      </c>
      <c r="C2499" s="121" t="s">
        <v>3427</v>
      </c>
      <c r="D2499" s="332" t="s">
        <v>43</v>
      </c>
      <c r="E2499" s="332">
        <v>1</v>
      </c>
      <c r="F2499" s="325">
        <v>23430.27</v>
      </c>
      <c r="G2499" s="436">
        <f t="shared" si="70"/>
        <v>23430.27</v>
      </c>
    </row>
    <row r="2500" spans="2:7" outlineLevel="3">
      <c r="B2500" s="330" t="s">
        <v>3428</v>
      </c>
      <c r="C2500" s="121" t="s">
        <v>3429</v>
      </c>
      <c r="D2500" s="332" t="s">
        <v>43</v>
      </c>
      <c r="E2500" s="332">
        <v>1</v>
      </c>
      <c r="F2500" s="325">
        <v>23686.23</v>
      </c>
      <c r="G2500" s="436">
        <f t="shared" si="70"/>
        <v>23686.23</v>
      </c>
    </row>
    <row r="2501" spans="2:7" outlineLevel="3">
      <c r="B2501" s="330" t="s">
        <v>3430</v>
      </c>
      <c r="C2501" s="121" t="s">
        <v>3431</v>
      </c>
      <c r="D2501" s="332" t="s">
        <v>43</v>
      </c>
      <c r="E2501" s="332">
        <v>1</v>
      </c>
      <c r="F2501" s="325">
        <v>23576.18</v>
      </c>
      <c r="G2501" s="436">
        <f t="shared" si="70"/>
        <v>23576.18</v>
      </c>
    </row>
    <row r="2502" spans="2:7" outlineLevel="3">
      <c r="B2502" s="330" t="s">
        <v>3432</v>
      </c>
      <c r="C2502" s="121" t="s">
        <v>3433</v>
      </c>
      <c r="D2502" s="332" t="s">
        <v>43</v>
      </c>
      <c r="E2502" s="332">
        <v>1</v>
      </c>
      <c r="F2502" s="325">
        <v>23747.65</v>
      </c>
      <c r="G2502" s="436">
        <f t="shared" si="70"/>
        <v>23747.65</v>
      </c>
    </row>
    <row r="2503" spans="2:7" outlineLevel="3">
      <c r="B2503" s="330" t="s">
        <v>3434</v>
      </c>
      <c r="C2503" s="121" t="s">
        <v>3435</v>
      </c>
      <c r="D2503" s="332" t="s">
        <v>43</v>
      </c>
      <c r="E2503" s="332">
        <v>1</v>
      </c>
      <c r="F2503" s="325">
        <v>23658.48</v>
      </c>
      <c r="G2503" s="436">
        <f t="shared" si="70"/>
        <v>23658.48</v>
      </c>
    </row>
    <row r="2504" spans="2:7" outlineLevel="3">
      <c r="B2504" s="330" t="s">
        <v>3436</v>
      </c>
      <c r="C2504" s="121" t="s">
        <v>3437</v>
      </c>
      <c r="D2504" s="332" t="s">
        <v>43</v>
      </c>
      <c r="E2504" s="332">
        <v>1</v>
      </c>
      <c r="F2504" s="325">
        <v>23704.17</v>
      </c>
      <c r="G2504" s="436">
        <f t="shared" si="70"/>
        <v>23704.17</v>
      </c>
    </row>
    <row r="2505" spans="2:7" outlineLevel="3">
      <c r="B2505" s="330" t="s">
        <v>3438</v>
      </c>
      <c r="C2505" s="121" t="s">
        <v>3439</v>
      </c>
      <c r="D2505" s="332" t="s">
        <v>43</v>
      </c>
      <c r="E2505" s="332">
        <v>1</v>
      </c>
      <c r="F2505" s="325">
        <v>23686.23</v>
      </c>
      <c r="G2505" s="436">
        <f t="shared" si="70"/>
        <v>23686.23</v>
      </c>
    </row>
    <row r="2506" spans="2:7" outlineLevel="3">
      <c r="B2506" s="330" t="s">
        <v>3440</v>
      </c>
      <c r="C2506" s="121" t="s">
        <v>3441</v>
      </c>
      <c r="D2506" s="332" t="s">
        <v>43</v>
      </c>
      <c r="E2506" s="332">
        <v>1</v>
      </c>
      <c r="F2506" s="325">
        <v>59313.38</v>
      </c>
      <c r="G2506" s="436">
        <f t="shared" si="70"/>
        <v>59313.38</v>
      </c>
    </row>
    <row r="2507" spans="2:7" outlineLevel="3">
      <c r="B2507" s="330" t="s">
        <v>3442</v>
      </c>
      <c r="C2507" s="121" t="s">
        <v>3443</v>
      </c>
      <c r="D2507" s="332" t="s">
        <v>43</v>
      </c>
      <c r="E2507" s="332">
        <v>1</v>
      </c>
      <c r="F2507" s="325">
        <v>23746.68</v>
      </c>
      <c r="G2507" s="436">
        <f t="shared" si="70"/>
        <v>23746.68</v>
      </c>
    </row>
    <row r="2508" spans="2:7" outlineLevel="3">
      <c r="B2508" s="330" t="s">
        <v>3444</v>
      </c>
      <c r="C2508" s="121" t="s">
        <v>3445</v>
      </c>
      <c r="D2508" s="332" t="s">
        <v>43</v>
      </c>
      <c r="E2508" s="332">
        <v>1</v>
      </c>
      <c r="F2508" s="325">
        <v>60042.81</v>
      </c>
      <c r="G2508" s="436">
        <f t="shared" si="70"/>
        <v>60042.81</v>
      </c>
    </row>
    <row r="2509" spans="2:7" outlineLevel="3">
      <c r="B2509" s="330" t="s">
        <v>3446</v>
      </c>
      <c r="C2509" s="121" t="s">
        <v>3447</v>
      </c>
      <c r="D2509" s="332" t="s">
        <v>43</v>
      </c>
      <c r="E2509" s="332">
        <v>1</v>
      </c>
      <c r="F2509" s="325">
        <v>60042.81</v>
      </c>
      <c r="G2509" s="436">
        <f t="shared" si="70"/>
        <v>60042.81</v>
      </c>
    </row>
    <row r="2510" spans="2:7" outlineLevel="3">
      <c r="B2510" s="330" t="s">
        <v>3448</v>
      </c>
      <c r="C2510" s="121" t="s">
        <v>3449</v>
      </c>
      <c r="D2510" s="332" t="s">
        <v>43</v>
      </c>
      <c r="E2510" s="332">
        <v>1</v>
      </c>
      <c r="F2510" s="325">
        <v>60036.959999999999</v>
      </c>
      <c r="G2510" s="436">
        <f t="shared" si="70"/>
        <v>60036.959999999999</v>
      </c>
    </row>
    <row r="2511" spans="2:7" outlineLevel="3">
      <c r="B2511" s="331" t="s">
        <v>3450</v>
      </c>
      <c r="C2511" s="324" t="s">
        <v>2985</v>
      </c>
      <c r="D2511" s="332"/>
      <c r="E2511" s="332"/>
      <c r="F2511" s="325"/>
      <c r="G2511" s="435">
        <f>+SUBTOTAL(9,G2512:G2520)</f>
        <v>355734.76</v>
      </c>
    </row>
    <row r="2512" spans="2:7" outlineLevel="3">
      <c r="B2512" s="330" t="s">
        <v>3451</v>
      </c>
      <c r="C2512" s="121" t="s">
        <v>3452</v>
      </c>
      <c r="D2512" s="332" t="s">
        <v>43</v>
      </c>
      <c r="E2512" s="332">
        <v>7</v>
      </c>
      <c r="F2512" s="325">
        <v>14926.24</v>
      </c>
      <c r="G2512" s="436">
        <f t="shared" ref="G2512:G2520" si="71">ROUND(E2512*F2512,2)</f>
        <v>104483.68</v>
      </c>
    </row>
    <row r="2513" spans="2:7" outlineLevel="3">
      <c r="B2513" s="330" t="s">
        <v>3453</v>
      </c>
      <c r="C2513" s="121" t="s">
        <v>3454</v>
      </c>
      <c r="D2513" s="332" t="s">
        <v>43</v>
      </c>
      <c r="E2513" s="332">
        <v>2</v>
      </c>
      <c r="F2513" s="325">
        <v>15804.07</v>
      </c>
      <c r="G2513" s="436">
        <f t="shared" si="71"/>
        <v>31608.14</v>
      </c>
    </row>
    <row r="2514" spans="2:7" outlineLevel="3">
      <c r="B2514" s="330" t="s">
        <v>3455</v>
      </c>
      <c r="C2514" s="121" t="s">
        <v>3456</v>
      </c>
      <c r="D2514" s="332" t="s">
        <v>43</v>
      </c>
      <c r="E2514" s="332">
        <v>2</v>
      </c>
      <c r="F2514" s="325">
        <v>20792.45</v>
      </c>
      <c r="G2514" s="436">
        <f t="shared" si="71"/>
        <v>41584.9</v>
      </c>
    </row>
    <row r="2515" spans="2:7" outlineLevel="3">
      <c r="B2515" s="330" t="s">
        <v>3457</v>
      </c>
      <c r="C2515" s="121" t="s">
        <v>3458</v>
      </c>
      <c r="D2515" s="332" t="s">
        <v>43</v>
      </c>
      <c r="E2515" s="332">
        <v>4</v>
      </c>
      <c r="F2515" s="325">
        <v>15510.18</v>
      </c>
      <c r="G2515" s="436">
        <f t="shared" si="71"/>
        <v>62040.72</v>
      </c>
    </row>
    <row r="2516" spans="2:7" outlineLevel="3">
      <c r="B2516" s="330" t="s">
        <v>3459</v>
      </c>
      <c r="C2516" s="121" t="s">
        <v>3460</v>
      </c>
      <c r="D2516" s="332" t="s">
        <v>43</v>
      </c>
      <c r="E2516" s="332">
        <v>1</v>
      </c>
      <c r="F2516" s="325">
        <v>16494.650000000001</v>
      </c>
      <c r="G2516" s="436">
        <f t="shared" si="71"/>
        <v>16494.650000000001</v>
      </c>
    </row>
    <row r="2517" spans="2:7" outlineLevel="3">
      <c r="B2517" s="330" t="s">
        <v>3461</v>
      </c>
      <c r="C2517" s="121" t="s">
        <v>3462</v>
      </c>
      <c r="D2517" s="332" t="s">
        <v>43</v>
      </c>
      <c r="E2517" s="332">
        <v>1</v>
      </c>
      <c r="F2517" s="325">
        <v>20655.52</v>
      </c>
      <c r="G2517" s="436">
        <f t="shared" si="71"/>
        <v>20655.52</v>
      </c>
    </row>
    <row r="2518" spans="2:7" outlineLevel="3">
      <c r="B2518" s="330" t="s">
        <v>3463</v>
      </c>
      <c r="C2518" s="121" t="s">
        <v>3464</v>
      </c>
      <c r="D2518" s="332" t="s">
        <v>43</v>
      </c>
      <c r="E2518" s="332">
        <v>1</v>
      </c>
      <c r="F2518" s="325">
        <v>22271.55</v>
      </c>
      <c r="G2518" s="436">
        <f t="shared" si="71"/>
        <v>22271.55</v>
      </c>
    </row>
    <row r="2519" spans="2:7" outlineLevel="3">
      <c r="B2519" s="330" t="s">
        <v>3465</v>
      </c>
      <c r="C2519" s="121" t="s">
        <v>3466</v>
      </c>
      <c r="D2519" s="332" t="s">
        <v>43</v>
      </c>
      <c r="E2519" s="332">
        <v>1</v>
      </c>
      <c r="F2519" s="325">
        <v>23459.21</v>
      </c>
      <c r="G2519" s="436">
        <f t="shared" si="71"/>
        <v>23459.21</v>
      </c>
    </row>
    <row r="2520" spans="2:7" outlineLevel="3">
      <c r="B2520" s="330" t="s">
        <v>3467</v>
      </c>
      <c r="C2520" s="121" t="s">
        <v>3468</v>
      </c>
      <c r="D2520" s="332" t="s">
        <v>43</v>
      </c>
      <c r="E2520" s="332">
        <v>1</v>
      </c>
      <c r="F2520" s="325">
        <v>33136.39</v>
      </c>
      <c r="G2520" s="436">
        <f t="shared" si="71"/>
        <v>33136.39</v>
      </c>
    </row>
    <row r="2521" spans="2:7" outlineLevel="3">
      <c r="B2521" s="331" t="s">
        <v>3469</v>
      </c>
      <c r="C2521" s="324" t="s">
        <v>3470</v>
      </c>
      <c r="D2521" s="332"/>
      <c r="E2521" s="332"/>
      <c r="F2521" s="325"/>
      <c r="G2521" s="435">
        <f>+SUBTOTAL(9,G2522)</f>
        <v>18658.93</v>
      </c>
    </row>
    <row r="2522" spans="2:7" outlineLevel="3">
      <c r="B2522" s="330" t="s">
        <v>3471</v>
      </c>
      <c r="C2522" s="121" t="s">
        <v>3472</v>
      </c>
      <c r="D2522" s="332" t="s">
        <v>1872</v>
      </c>
      <c r="E2522" s="332">
        <v>1</v>
      </c>
      <c r="F2522" s="325">
        <v>18658.93</v>
      </c>
      <c r="G2522" s="436">
        <f>ROUND(E2522*F2522,2)</f>
        <v>18658.93</v>
      </c>
    </row>
    <row r="2523" spans="2:7" outlineLevel="3">
      <c r="B2523" s="331" t="s">
        <v>3473</v>
      </c>
      <c r="C2523" s="324" t="s">
        <v>2954</v>
      </c>
      <c r="D2523" s="332"/>
      <c r="E2523" s="332"/>
      <c r="F2523" s="325"/>
      <c r="G2523" s="435">
        <f>+SUBTOTAL(9,G2524:G2527)</f>
        <v>688206.25</v>
      </c>
    </row>
    <row r="2524" spans="2:7" outlineLevel="3">
      <c r="B2524" s="330" t="s">
        <v>3474</v>
      </c>
      <c r="C2524" s="121" t="s">
        <v>3038</v>
      </c>
      <c r="D2524" s="332" t="s">
        <v>57</v>
      </c>
      <c r="E2524" s="332">
        <v>635.29</v>
      </c>
      <c r="F2524" s="325">
        <v>160.06</v>
      </c>
      <c r="G2524" s="436">
        <f>ROUND(E2524*F2524,2)</f>
        <v>101684.52</v>
      </c>
    </row>
    <row r="2525" spans="2:7" outlineLevel="3">
      <c r="B2525" s="330" t="s">
        <v>3475</v>
      </c>
      <c r="C2525" s="121" t="s">
        <v>3476</v>
      </c>
      <c r="D2525" s="332" t="s">
        <v>57</v>
      </c>
      <c r="E2525" s="327">
        <v>2541.08</v>
      </c>
      <c r="F2525" s="325">
        <v>166.34</v>
      </c>
      <c r="G2525" s="436">
        <f>ROUND(E2525*F2525,2)</f>
        <v>422683.25</v>
      </c>
    </row>
    <row r="2526" spans="2:7" outlineLevel="3">
      <c r="B2526" s="330" t="s">
        <v>3477</v>
      </c>
      <c r="C2526" s="121" t="s">
        <v>3478</v>
      </c>
      <c r="D2526" s="332" t="s">
        <v>57</v>
      </c>
      <c r="E2526" s="332">
        <v>11.88</v>
      </c>
      <c r="F2526" s="325">
        <v>32.24</v>
      </c>
      <c r="G2526" s="436">
        <f>ROUND(E2526*F2526,2)</f>
        <v>383.01</v>
      </c>
    </row>
    <row r="2527" spans="2:7" outlineLevel="3">
      <c r="B2527" s="330" t="s">
        <v>3479</v>
      </c>
      <c r="C2527" s="121" t="s">
        <v>3480</v>
      </c>
      <c r="D2527" s="332" t="s">
        <v>57</v>
      </c>
      <c r="E2527" s="327">
        <v>1250.52</v>
      </c>
      <c r="F2527" s="325">
        <v>130.71</v>
      </c>
      <c r="G2527" s="436">
        <f>ROUND(E2527*F2527,2)</f>
        <v>163455.47</v>
      </c>
    </row>
    <row r="2528" spans="2:7" outlineLevel="2">
      <c r="B2528" s="331" t="s">
        <v>3481</v>
      </c>
      <c r="C2528" s="324" t="s">
        <v>3482</v>
      </c>
      <c r="D2528" s="332"/>
      <c r="E2528" s="332"/>
      <c r="F2528" s="325"/>
      <c r="G2528" s="435">
        <f>+SUBTOTAL(9,G2529:G2639)</f>
        <v>7049504.0200000051</v>
      </c>
    </row>
    <row r="2529" spans="2:7" outlineLevel="3">
      <c r="B2529" s="331" t="s">
        <v>3483</v>
      </c>
      <c r="C2529" s="324" t="s">
        <v>1600</v>
      </c>
      <c r="D2529" s="332"/>
      <c r="E2529" s="332"/>
      <c r="F2529" s="325"/>
      <c r="G2529" s="435">
        <f>+SUBTOTAL(9,G2530:G2532)</f>
        <v>67935.140000000014</v>
      </c>
    </row>
    <row r="2530" spans="2:7" outlineLevel="3">
      <c r="B2530" s="330" t="s">
        <v>3484</v>
      </c>
      <c r="C2530" s="121" t="s">
        <v>3343</v>
      </c>
      <c r="D2530" s="332" t="s">
        <v>43</v>
      </c>
      <c r="E2530" s="332">
        <v>48</v>
      </c>
      <c r="F2530" s="325">
        <v>723.51</v>
      </c>
      <c r="G2530" s="436">
        <f>ROUND(E2530*F2530,2)</f>
        <v>34728.480000000003</v>
      </c>
    </row>
    <row r="2531" spans="2:7" outlineLevel="3">
      <c r="B2531" s="330" t="s">
        <v>3485</v>
      </c>
      <c r="C2531" s="121" t="s">
        <v>3347</v>
      </c>
      <c r="D2531" s="332" t="s">
        <v>43</v>
      </c>
      <c r="E2531" s="332">
        <v>93</v>
      </c>
      <c r="F2531" s="325">
        <v>99.61</v>
      </c>
      <c r="G2531" s="436">
        <f>ROUND(E2531*F2531,2)</f>
        <v>9263.73</v>
      </c>
    </row>
    <row r="2532" spans="2:7" outlineLevel="3">
      <c r="B2532" s="330" t="s">
        <v>3486</v>
      </c>
      <c r="C2532" s="121" t="s">
        <v>1602</v>
      </c>
      <c r="D2532" s="332" t="s">
        <v>43</v>
      </c>
      <c r="E2532" s="332">
        <v>307</v>
      </c>
      <c r="F2532" s="325">
        <v>77.989999999999995</v>
      </c>
      <c r="G2532" s="436">
        <f>ROUND(E2532*F2532,2)</f>
        <v>23942.93</v>
      </c>
    </row>
    <row r="2533" spans="2:7" outlineLevel="3">
      <c r="B2533" s="331" t="s">
        <v>3487</v>
      </c>
      <c r="C2533" s="324" t="s">
        <v>1585</v>
      </c>
      <c r="D2533" s="332"/>
      <c r="E2533" s="332"/>
      <c r="F2533" s="325"/>
      <c r="G2533" s="435">
        <f>+SUBTOTAL(9,G2534:G2552)</f>
        <v>2642373.17</v>
      </c>
    </row>
    <row r="2534" spans="2:7" ht="18.600000000000001" customHeight="1" outlineLevel="3">
      <c r="B2534" s="330" t="s">
        <v>3488</v>
      </c>
      <c r="C2534" s="121" t="s">
        <v>3351</v>
      </c>
      <c r="D2534" s="332" t="s">
        <v>64</v>
      </c>
      <c r="E2534" s="327">
        <v>17677.759999999998</v>
      </c>
      <c r="F2534" s="325">
        <v>29.23</v>
      </c>
      <c r="G2534" s="436">
        <f t="shared" ref="G2534:G2552" si="72">ROUND(E2534*F2534,2)</f>
        <v>516720.92</v>
      </c>
    </row>
    <row r="2535" spans="2:7" ht="18.600000000000001" customHeight="1" outlineLevel="3">
      <c r="B2535" s="330" t="s">
        <v>3489</v>
      </c>
      <c r="C2535" s="121" t="s">
        <v>3353</v>
      </c>
      <c r="D2535" s="332" t="s">
        <v>64</v>
      </c>
      <c r="E2535" s="327">
        <v>2934.81</v>
      </c>
      <c r="F2535" s="325">
        <v>40.68</v>
      </c>
      <c r="G2535" s="436">
        <f t="shared" si="72"/>
        <v>119388.07</v>
      </c>
    </row>
    <row r="2536" spans="2:7" ht="18.600000000000001" customHeight="1" outlineLevel="3">
      <c r="B2536" s="330" t="s">
        <v>3490</v>
      </c>
      <c r="C2536" s="121" t="s">
        <v>3355</v>
      </c>
      <c r="D2536" s="332" t="s">
        <v>64</v>
      </c>
      <c r="E2536" s="327">
        <v>3027.17</v>
      </c>
      <c r="F2536" s="325">
        <v>153.21</v>
      </c>
      <c r="G2536" s="436">
        <f t="shared" si="72"/>
        <v>463792.72</v>
      </c>
    </row>
    <row r="2537" spans="2:7" ht="18.600000000000001" customHeight="1" outlineLevel="3">
      <c r="B2537" s="330" t="s">
        <v>3491</v>
      </c>
      <c r="C2537" s="121" t="s">
        <v>3357</v>
      </c>
      <c r="D2537" s="332" t="s">
        <v>64</v>
      </c>
      <c r="E2537" s="327">
        <v>8390.52</v>
      </c>
      <c r="F2537" s="325">
        <v>35.549999999999997</v>
      </c>
      <c r="G2537" s="436">
        <f t="shared" si="72"/>
        <v>298282.99</v>
      </c>
    </row>
    <row r="2538" spans="2:7" ht="18.600000000000001" customHeight="1" outlineLevel="3">
      <c r="B2538" s="330" t="s">
        <v>3492</v>
      </c>
      <c r="C2538" s="121" t="s">
        <v>3359</v>
      </c>
      <c r="D2538" s="332" t="s">
        <v>64</v>
      </c>
      <c r="E2538" s="332">
        <v>710.07</v>
      </c>
      <c r="F2538" s="325">
        <v>47</v>
      </c>
      <c r="G2538" s="436">
        <f t="shared" si="72"/>
        <v>33373.29</v>
      </c>
    </row>
    <row r="2539" spans="2:7" ht="18.600000000000001" customHeight="1" outlineLevel="3">
      <c r="B2539" s="330" t="s">
        <v>3493</v>
      </c>
      <c r="C2539" s="121" t="s">
        <v>3361</v>
      </c>
      <c r="D2539" s="332" t="s">
        <v>64</v>
      </c>
      <c r="E2539" s="327">
        <v>1089.6300000000001</v>
      </c>
      <c r="F2539" s="325">
        <v>159.53</v>
      </c>
      <c r="G2539" s="436">
        <f t="shared" si="72"/>
        <v>173828.67</v>
      </c>
    </row>
    <row r="2540" spans="2:7" ht="18.600000000000001" customHeight="1" outlineLevel="3">
      <c r="B2540" s="330" t="s">
        <v>3494</v>
      </c>
      <c r="C2540" s="121" t="s">
        <v>3373</v>
      </c>
      <c r="D2540" s="332" t="s">
        <v>64</v>
      </c>
      <c r="E2540" s="327">
        <v>2786.75</v>
      </c>
      <c r="F2540" s="325">
        <v>43.13</v>
      </c>
      <c r="G2540" s="436">
        <f t="shared" si="72"/>
        <v>120192.53</v>
      </c>
    </row>
    <row r="2541" spans="2:7" ht="18.600000000000001" customHeight="1" outlineLevel="3">
      <c r="B2541" s="330" t="s">
        <v>3495</v>
      </c>
      <c r="C2541" s="121" t="s">
        <v>3363</v>
      </c>
      <c r="D2541" s="332" t="s">
        <v>64</v>
      </c>
      <c r="E2541" s="332">
        <v>536.86</v>
      </c>
      <c r="F2541" s="325">
        <v>54.84</v>
      </c>
      <c r="G2541" s="436">
        <f t="shared" si="72"/>
        <v>29441.4</v>
      </c>
    </row>
    <row r="2542" spans="2:7" ht="18.600000000000001" customHeight="1" outlineLevel="3">
      <c r="B2542" s="330" t="s">
        <v>3496</v>
      </c>
      <c r="C2542" s="121" t="s">
        <v>3365</v>
      </c>
      <c r="D2542" s="332" t="s">
        <v>64</v>
      </c>
      <c r="E2542" s="332">
        <v>207.03</v>
      </c>
      <c r="F2542" s="325">
        <v>195.91</v>
      </c>
      <c r="G2542" s="436">
        <f t="shared" si="72"/>
        <v>40559.25</v>
      </c>
    </row>
    <row r="2543" spans="2:7" ht="18.600000000000001" customHeight="1" outlineLevel="3">
      <c r="B2543" s="330" t="s">
        <v>3497</v>
      </c>
      <c r="C2543" s="121" t="s">
        <v>3498</v>
      </c>
      <c r="D2543" s="332" t="s">
        <v>64</v>
      </c>
      <c r="E2543" s="332">
        <v>192.92</v>
      </c>
      <c r="F2543" s="325">
        <v>57.27</v>
      </c>
      <c r="G2543" s="436">
        <f t="shared" si="72"/>
        <v>11048.53</v>
      </c>
    </row>
    <row r="2544" spans="2:7" ht="17.100000000000001" customHeight="1" outlineLevel="3">
      <c r="B2544" s="330" t="s">
        <v>3499</v>
      </c>
      <c r="C2544" s="121" t="s">
        <v>3375</v>
      </c>
      <c r="D2544" s="332" t="s">
        <v>64</v>
      </c>
      <c r="E2544" s="332">
        <v>180.47</v>
      </c>
      <c r="F2544" s="325">
        <v>139.55000000000001</v>
      </c>
      <c r="G2544" s="436">
        <f t="shared" si="72"/>
        <v>25184.59</v>
      </c>
    </row>
    <row r="2545" spans="2:7" ht="17.100000000000001" customHeight="1" outlineLevel="3">
      <c r="B2545" s="330" t="s">
        <v>3500</v>
      </c>
      <c r="C2545" s="121" t="s">
        <v>3501</v>
      </c>
      <c r="D2545" s="332" t="s">
        <v>64</v>
      </c>
      <c r="E2545" s="332">
        <v>122.1</v>
      </c>
      <c r="F2545" s="325">
        <v>157.87</v>
      </c>
      <c r="G2545" s="436">
        <f t="shared" si="72"/>
        <v>19275.93</v>
      </c>
    </row>
    <row r="2546" spans="2:7" ht="17.100000000000001" customHeight="1" outlineLevel="3">
      <c r="B2546" s="330" t="s">
        <v>3502</v>
      </c>
      <c r="C2546" s="121" t="s">
        <v>3367</v>
      </c>
      <c r="D2546" s="332" t="s">
        <v>64</v>
      </c>
      <c r="E2546" s="332">
        <v>290.86</v>
      </c>
      <c r="F2546" s="325">
        <v>107.6</v>
      </c>
      <c r="G2546" s="436">
        <f t="shared" si="72"/>
        <v>31296.54</v>
      </c>
    </row>
    <row r="2547" spans="2:7" ht="17.100000000000001" customHeight="1" outlineLevel="3">
      <c r="B2547" s="330" t="s">
        <v>3503</v>
      </c>
      <c r="C2547" s="121" t="s">
        <v>3504</v>
      </c>
      <c r="D2547" s="332" t="s">
        <v>64</v>
      </c>
      <c r="E2547" s="332">
        <v>233.5</v>
      </c>
      <c r="F2547" s="325">
        <v>126.34</v>
      </c>
      <c r="G2547" s="436">
        <f t="shared" si="72"/>
        <v>29500.39</v>
      </c>
    </row>
    <row r="2548" spans="2:7" ht="17.100000000000001" customHeight="1" outlineLevel="3">
      <c r="B2548" s="330" t="s">
        <v>3505</v>
      </c>
      <c r="C2548" s="121" t="s">
        <v>3506</v>
      </c>
      <c r="D2548" s="332" t="s">
        <v>64</v>
      </c>
      <c r="E2548" s="332">
        <v>553.30999999999995</v>
      </c>
      <c r="F2548" s="325">
        <v>352.03</v>
      </c>
      <c r="G2548" s="436">
        <f t="shared" si="72"/>
        <v>194781.72</v>
      </c>
    </row>
    <row r="2549" spans="2:7" ht="17.100000000000001" customHeight="1" outlineLevel="3">
      <c r="B2549" s="330" t="s">
        <v>3507</v>
      </c>
      <c r="C2549" s="121" t="s">
        <v>3369</v>
      </c>
      <c r="D2549" s="332" t="s">
        <v>64</v>
      </c>
      <c r="E2549" s="332">
        <v>496.24</v>
      </c>
      <c r="F2549" s="325">
        <v>137.68</v>
      </c>
      <c r="G2549" s="436">
        <f t="shared" si="72"/>
        <v>68322.320000000007</v>
      </c>
    </row>
    <row r="2550" spans="2:7" ht="17.100000000000001" customHeight="1" outlineLevel="3">
      <c r="B2550" s="330" t="s">
        <v>3508</v>
      </c>
      <c r="C2550" s="121" t="s">
        <v>3509</v>
      </c>
      <c r="D2550" s="332" t="s">
        <v>64</v>
      </c>
      <c r="E2550" s="332">
        <v>8.02</v>
      </c>
      <c r="F2550" s="325">
        <v>156.41999999999999</v>
      </c>
      <c r="G2550" s="436">
        <f t="shared" si="72"/>
        <v>1254.49</v>
      </c>
    </row>
    <row r="2551" spans="2:7" ht="17.100000000000001" customHeight="1" outlineLevel="3">
      <c r="B2551" s="330" t="s">
        <v>3510</v>
      </c>
      <c r="C2551" s="121" t="s">
        <v>3511</v>
      </c>
      <c r="D2551" s="332" t="s">
        <v>64</v>
      </c>
      <c r="E2551" s="332">
        <v>82.64</v>
      </c>
      <c r="F2551" s="325">
        <v>382.11</v>
      </c>
      <c r="G2551" s="436">
        <f t="shared" si="72"/>
        <v>31577.57</v>
      </c>
    </row>
    <row r="2552" spans="2:7" outlineLevel="3">
      <c r="B2552" s="330" t="s">
        <v>3512</v>
      </c>
      <c r="C2552" s="121" t="s">
        <v>3513</v>
      </c>
      <c r="D2552" s="332" t="s">
        <v>1872</v>
      </c>
      <c r="E2552" s="332">
        <v>1</v>
      </c>
      <c r="F2552" s="325">
        <v>434551.25</v>
      </c>
      <c r="G2552" s="436">
        <f t="shared" si="72"/>
        <v>434551.25</v>
      </c>
    </row>
    <row r="2553" spans="2:7" outlineLevel="3">
      <c r="B2553" s="331" t="s">
        <v>3514</v>
      </c>
      <c r="C2553" s="324" t="s">
        <v>3515</v>
      </c>
      <c r="D2553" s="332"/>
      <c r="E2553" s="332"/>
      <c r="F2553" s="325"/>
      <c r="G2553" s="435">
        <f>+SUBTOTAL(9,G2554:G2556)</f>
        <v>144961.37</v>
      </c>
    </row>
    <row r="2554" spans="2:7" ht="30" outlineLevel="3">
      <c r="B2554" s="330" t="s">
        <v>3516</v>
      </c>
      <c r="C2554" s="121" t="s">
        <v>3517</v>
      </c>
      <c r="D2554" s="332" t="s">
        <v>43</v>
      </c>
      <c r="E2554" s="332">
        <v>3</v>
      </c>
      <c r="F2554" s="325">
        <v>3922.09</v>
      </c>
      <c r="G2554" s="436">
        <f>ROUND(E2554*F2554,2)</f>
        <v>11766.27</v>
      </c>
    </row>
    <row r="2555" spans="2:7" ht="30" outlineLevel="3">
      <c r="B2555" s="330" t="s">
        <v>3518</v>
      </c>
      <c r="C2555" s="121" t="s">
        <v>3519</v>
      </c>
      <c r="D2555" s="332" t="s">
        <v>43</v>
      </c>
      <c r="E2555" s="332">
        <v>25</v>
      </c>
      <c r="F2555" s="325">
        <v>3921.04</v>
      </c>
      <c r="G2555" s="436">
        <f>ROUND(E2555*F2555,2)</f>
        <v>98026</v>
      </c>
    </row>
    <row r="2556" spans="2:7" ht="30" outlineLevel="3">
      <c r="B2556" s="330" t="s">
        <v>3520</v>
      </c>
      <c r="C2556" s="121" t="s">
        <v>3521</v>
      </c>
      <c r="D2556" s="332" t="s">
        <v>43</v>
      </c>
      <c r="E2556" s="332">
        <v>10</v>
      </c>
      <c r="F2556" s="325">
        <v>3516.91</v>
      </c>
      <c r="G2556" s="436">
        <f>ROUND(E2556*F2556,2)</f>
        <v>35169.1</v>
      </c>
    </row>
    <row r="2557" spans="2:7" outlineLevel="3">
      <c r="B2557" s="331" t="s">
        <v>3522</v>
      </c>
      <c r="C2557" s="324" t="s">
        <v>3383</v>
      </c>
      <c r="D2557" s="332"/>
      <c r="E2557" s="332"/>
      <c r="F2557" s="325"/>
      <c r="G2557" s="435">
        <f>+SUBTOTAL(9,G2558:G2561)</f>
        <v>177232.87</v>
      </c>
    </row>
    <row r="2558" spans="2:7" outlineLevel="3">
      <c r="B2558" s="330" t="s">
        <v>3523</v>
      </c>
      <c r="C2558" s="121" t="s">
        <v>3385</v>
      </c>
      <c r="D2558" s="332" t="s">
        <v>43</v>
      </c>
      <c r="E2558" s="332">
        <v>100</v>
      </c>
      <c r="F2558" s="325">
        <v>1038.8499999999999</v>
      </c>
      <c r="G2558" s="436">
        <f>ROUND(E2558*F2558,2)</f>
        <v>103885</v>
      </c>
    </row>
    <row r="2559" spans="2:7" outlineLevel="3">
      <c r="B2559" s="330" t="s">
        <v>3524</v>
      </c>
      <c r="C2559" s="121" t="s">
        <v>3387</v>
      </c>
      <c r="D2559" s="332" t="s">
        <v>43</v>
      </c>
      <c r="E2559" s="332">
        <v>39</v>
      </c>
      <c r="F2559" s="325">
        <v>1406.93</v>
      </c>
      <c r="G2559" s="436">
        <f>ROUND(E2559*F2559,2)</f>
        <v>54870.27</v>
      </c>
    </row>
    <row r="2560" spans="2:7" outlineLevel="3">
      <c r="B2560" s="330" t="s">
        <v>3525</v>
      </c>
      <c r="C2560" s="121" t="s">
        <v>3389</v>
      </c>
      <c r="D2560" s="332" t="s">
        <v>43</v>
      </c>
      <c r="E2560" s="332">
        <v>10</v>
      </c>
      <c r="F2560" s="325">
        <v>1602.49</v>
      </c>
      <c r="G2560" s="436">
        <f>ROUND(E2560*F2560,2)</f>
        <v>16024.9</v>
      </c>
    </row>
    <row r="2561" spans="2:7" outlineLevel="3">
      <c r="B2561" s="330" t="s">
        <v>3526</v>
      </c>
      <c r="C2561" s="121" t="s">
        <v>3151</v>
      </c>
      <c r="D2561" s="332" t="s">
        <v>43</v>
      </c>
      <c r="E2561" s="332">
        <v>1</v>
      </c>
      <c r="F2561" s="325">
        <v>2452.6999999999998</v>
      </c>
      <c r="G2561" s="436">
        <f>ROUND(E2561*F2561,2)</f>
        <v>2452.6999999999998</v>
      </c>
    </row>
    <row r="2562" spans="2:7" outlineLevel="3">
      <c r="B2562" s="331" t="s">
        <v>3391</v>
      </c>
      <c r="C2562" s="324" t="s">
        <v>2977</v>
      </c>
      <c r="D2562" s="332"/>
      <c r="E2562" s="332"/>
      <c r="F2562" s="325"/>
      <c r="G2562" s="435">
        <f>+SUBTOTAL(9,G2563:G2633)</f>
        <v>2821646.2100000004</v>
      </c>
    </row>
    <row r="2563" spans="2:7" outlineLevel="3">
      <c r="B2563" s="331" t="s">
        <v>3527</v>
      </c>
      <c r="C2563" s="324" t="s">
        <v>2979</v>
      </c>
      <c r="D2563" s="332"/>
      <c r="E2563" s="332"/>
      <c r="F2563" s="325"/>
      <c r="G2563" s="435">
        <f>+SUBTOTAL(9,G2564:G2570)</f>
        <v>617027.62</v>
      </c>
    </row>
    <row r="2564" spans="2:7" outlineLevel="3">
      <c r="B2564" s="330" t="s">
        <v>3528</v>
      </c>
      <c r="C2564" s="121" t="s">
        <v>3394</v>
      </c>
      <c r="D2564" s="332" t="s">
        <v>43</v>
      </c>
      <c r="E2564" s="332">
        <v>30</v>
      </c>
      <c r="F2564" s="325">
        <v>8285.73</v>
      </c>
      <c r="G2564" s="436">
        <f t="shared" ref="G2564:G2570" si="73">ROUND(E2564*F2564,2)</f>
        <v>248571.9</v>
      </c>
    </row>
    <row r="2565" spans="2:7" outlineLevel="3">
      <c r="B2565" s="330" t="s">
        <v>3529</v>
      </c>
      <c r="C2565" s="121" t="s">
        <v>3396</v>
      </c>
      <c r="D2565" s="332" t="s">
        <v>43</v>
      </c>
      <c r="E2565" s="332">
        <v>9</v>
      </c>
      <c r="F2565" s="325">
        <v>8217.2000000000007</v>
      </c>
      <c r="G2565" s="436">
        <f t="shared" si="73"/>
        <v>73954.8</v>
      </c>
    </row>
    <row r="2566" spans="2:7" outlineLevel="3">
      <c r="B2566" s="330" t="s">
        <v>3530</v>
      </c>
      <c r="C2566" s="121" t="s">
        <v>3284</v>
      </c>
      <c r="D2566" s="332" t="s">
        <v>43</v>
      </c>
      <c r="E2566" s="332">
        <v>3</v>
      </c>
      <c r="F2566" s="325">
        <v>8768.73</v>
      </c>
      <c r="G2566" s="436">
        <f t="shared" si="73"/>
        <v>26306.19</v>
      </c>
    </row>
    <row r="2567" spans="2:7" outlineLevel="3">
      <c r="B2567" s="330" t="s">
        <v>3531</v>
      </c>
      <c r="C2567" s="121" t="s">
        <v>3532</v>
      </c>
      <c r="D2567" s="332" t="s">
        <v>43</v>
      </c>
      <c r="E2567" s="332">
        <v>1</v>
      </c>
      <c r="F2567" s="325">
        <v>3142.72</v>
      </c>
      <c r="G2567" s="436">
        <f t="shared" si="73"/>
        <v>3142.72</v>
      </c>
    </row>
    <row r="2568" spans="2:7" outlineLevel="3">
      <c r="B2568" s="330" t="s">
        <v>3533</v>
      </c>
      <c r="C2568" s="121" t="s">
        <v>3398</v>
      </c>
      <c r="D2568" s="332" t="s">
        <v>43</v>
      </c>
      <c r="E2568" s="332">
        <v>19</v>
      </c>
      <c r="F2568" s="325">
        <v>10013.959999999999</v>
      </c>
      <c r="G2568" s="436">
        <f t="shared" si="73"/>
        <v>190265.24</v>
      </c>
    </row>
    <row r="2569" spans="2:7" outlineLevel="3">
      <c r="B2569" s="330" t="s">
        <v>3534</v>
      </c>
      <c r="C2569" s="121" t="s">
        <v>3400</v>
      </c>
      <c r="D2569" s="332" t="s">
        <v>43</v>
      </c>
      <c r="E2569" s="332">
        <v>6</v>
      </c>
      <c r="F2569" s="325">
        <v>10696.66</v>
      </c>
      <c r="G2569" s="436">
        <f t="shared" si="73"/>
        <v>64179.96</v>
      </c>
    </row>
    <row r="2570" spans="2:7" outlineLevel="3">
      <c r="B2570" s="330" t="s">
        <v>3535</v>
      </c>
      <c r="C2570" s="121" t="s">
        <v>3286</v>
      </c>
      <c r="D2570" s="332" t="s">
        <v>43</v>
      </c>
      <c r="E2570" s="332">
        <v>1</v>
      </c>
      <c r="F2570" s="325">
        <v>10606.81</v>
      </c>
      <c r="G2570" s="436">
        <f t="shared" si="73"/>
        <v>10606.81</v>
      </c>
    </row>
    <row r="2571" spans="2:7" outlineLevel="3">
      <c r="B2571" s="331" t="s">
        <v>3536</v>
      </c>
      <c r="C2571" s="324" t="s">
        <v>2985</v>
      </c>
      <c r="D2571" s="332"/>
      <c r="E2571" s="332"/>
      <c r="F2571" s="325"/>
      <c r="G2571" s="435">
        <f>+SUBTOTAL(9,G2572:G2576)</f>
        <v>452495.10000000003</v>
      </c>
    </row>
    <row r="2572" spans="2:7" outlineLevel="3">
      <c r="B2572" s="330" t="s">
        <v>3537</v>
      </c>
      <c r="C2572" s="121" t="s">
        <v>2987</v>
      </c>
      <c r="D2572" s="332" t="s">
        <v>43</v>
      </c>
      <c r="E2572" s="332">
        <v>28</v>
      </c>
      <c r="F2572" s="325">
        <v>6141.12</v>
      </c>
      <c r="G2572" s="436">
        <f>ROUND(E2572*F2572,2)</f>
        <v>171951.35999999999</v>
      </c>
    </row>
    <row r="2573" spans="2:7" outlineLevel="3">
      <c r="B2573" s="330" t="s">
        <v>3538</v>
      </c>
      <c r="C2573" s="121" t="s">
        <v>3068</v>
      </c>
      <c r="D2573" s="332" t="s">
        <v>43</v>
      </c>
      <c r="E2573" s="332">
        <v>5</v>
      </c>
      <c r="F2573" s="325">
        <v>6348.82</v>
      </c>
      <c r="G2573" s="436">
        <f>ROUND(E2573*F2573,2)</f>
        <v>31744.1</v>
      </c>
    </row>
    <row r="2574" spans="2:7" outlineLevel="3">
      <c r="B2574" s="330" t="s">
        <v>3539</v>
      </c>
      <c r="C2574" s="121" t="s">
        <v>3070</v>
      </c>
      <c r="D2574" s="332" t="s">
        <v>43</v>
      </c>
      <c r="E2574" s="332">
        <v>10</v>
      </c>
      <c r="F2574" s="325">
        <v>7223.86</v>
      </c>
      <c r="G2574" s="436">
        <f>ROUND(E2574*F2574,2)</f>
        <v>72238.600000000006</v>
      </c>
    </row>
    <row r="2575" spans="2:7" outlineLevel="3">
      <c r="B2575" s="330" t="s">
        <v>3540</v>
      </c>
      <c r="C2575" s="121" t="s">
        <v>2989</v>
      </c>
      <c r="D2575" s="332" t="s">
        <v>43</v>
      </c>
      <c r="E2575" s="332">
        <v>24</v>
      </c>
      <c r="F2575" s="325">
        <v>6709.4</v>
      </c>
      <c r="G2575" s="436">
        <f>ROUND(E2575*F2575,2)</f>
        <v>161025.60000000001</v>
      </c>
    </row>
    <row r="2576" spans="2:7" outlineLevel="3">
      <c r="B2576" s="330" t="s">
        <v>3541</v>
      </c>
      <c r="C2576" s="121" t="s">
        <v>3104</v>
      </c>
      <c r="D2576" s="332" t="s">
        <v>43</v>
      </c>
      <c r="E2576" s="332">
        <v>2</v>
      </c>
      <c r="F2576" s="325">
        <v>7767.72</v>
      </c>
      <c r="G2576" s="436">
        <f>ROUND(E2576*F2576,2)</f>
        <v>15535.44</v>
      </c>
    </row>
    <row r="2577" spans="2:7" outlineLevel="3">
      <c r="B2577" s="331" t="s">
        <v>3542</v>
      </c>
      <c r="C2577" s="324" t="s">
        <v>2932</v>
      </c>
      <c r="D2577" s="332"/>
      <c r="E2577" s="332"/>
      <c r="F2577" s="325"/>
      <c r="G2577" s="435">
        <f>+SUBTOTAL(9,G2578:G2617)</f>
        <v>1031433.4199999991</v>
      </c>
    </row>
    <row r="2578" spans="2:7" ht="15.6" customHeight="1" outlineLevel="3">
      <c r="B2578" s="330" t="s">
        <v>3543</v>
      </c>
      <c r="C2578" s="121" t="s">
        <v>3544</v>
      </c>
      <c r="D2578" s="332" t="s">
        <v>43</v>
      </c>
      <c r="E2578" s="332">
        <v>1</v>
      </c>
      <c r="F2578" s="325">
        <v>31816.36</v>
      </c>
      <c r="G2578" s="436">
        <f t="shared" ref="G2578:G2617" si="74">ROUND(E2578*F2578,2)</f>
        <v>31816.36</v>
      </c>
    </row>
    <row r="2579" spans="2:7" ht="15.6" customHeight="1" outlineLevel="3">
      <c r="B2579" s="330" t="s">
        <v>3545</v>
      </c>
      <c r="C2579" s="121" t="s">
        <v>3413</v>
      </c>
      <c r="D2579" s="332" t="s">
        <v>43</v>
      </c>
      <c r="E2579" s="332">
        <v>1</v>
      </c>
      <c r="F2579" s="325">
        <v>23575.21</v>
      </c>
      <c r="G2579" s="436">
        <f t="shared" si="74"/>
        <v>23575.21</v>
      </c>
    </row>
    <row r="2580" spans="2:7" ht="15.6" customHeight="1" outlineLevel="3">
      <c r="B2580" s="330" t="s">
        <v>3546</v>
      </c>
      <c r="C2580" s="121" t="s">
        <v>3547</v>
      </c>
      <c r="D2580" s="332" t="s">
        <v>43</v>
      </c>
      <c r="E2580" s="332">
        <v>1</v>
      </c>
      <c r="F2580" s="325">
        <v>23687.200000000001</v>
      </c>
      <c r="G2580" s="436">
        <f t="shared" si="74"/>
        <v>23687.200000000001</v>
      </c>
    </row>
    <row r="2581" spans="2:7" ht="15.6" customHeight="1" outlineLevel="3">
      <c r="B2581" s="330" t="s">
        <v>3548</v>
      </c>
      <c r="C2581" s="121" t="s">
        <v>3415</v>
      </c>
      <c r="D2581" s="332" t="s">
        <v>43</v>
      </c>
      <c r="E2581" s="332">
        <v>1</v>
      </c>
      <c r="F2581" s="325">
        <v>23749.93</v>
      </c>
      <c r="G2581" s="436">
        <f t="shared" si="74"/>
        <v>23749.93</v>
      </c>
    </row>
    <row r="2582" spans="2:7" ht="15.6" customHeight="1" outlineLevel="3">
      <c r="B2582" s="330" t="s">
        <v>3549</v>
      </c>
      <c r="C2582" s="121" t="s">
        <v>3417</v>
      </c>
      <c r="D2582" s="332" t="s">
        <v>43</v>
      </c>
      <c r="E2582" s="332">
        <v>1</v>
      </c>
      <c r="F2582" s="325">
        <v>23657.51</v>
      </c>
      <c r="G2582" s="436">
        <f t="shared" si="74"/>
        <v>23657.51</v>
      </c>
    </row>
    <row r="2583" spans="2:7" ht="15.6" customHeight="1" outlineLevel="3">
      <c r="B2583" s="330" t="s">
        <v>3550</v>
      </c>
      <c r="C2583" s="121" t="s">
        <v>3419</v>
      </c>
      <c r="D2583" s="332" t="s">
        <v>43</v>
      </c>
      <c r="E2583" s="332">
        <v>1</v>
      </c>
      <c r="F2583" s="325">
        <v>23278.61</v>
      </c>
      <c r="G2583" s="436">
        <f t="shared" si="74"/>
        <v>23278.61</v>
      </c>
    </row>
    <row r="2584" spans="2:7" ht="15.6" customHeight="1" outlineLevel="3">
      <c r="B2584" s="330" t="s">
        <v>3551</v>
      </c>
      <c r="C2584" s="121" t="s">
        <v>3552</v>
      </c>
      <c r="D2584" s="332" t="s">
        <v>43</v>
      </c>
      <c r="E2584" s="332">
        <v>1</v>
      </c>
      <c r="F2584" s="325">
        <v>31139.599999999999</v>
      </c>
      <c r="G2584" s="436">
        <f t="shared" si="74"/>
        <v>31139.599999999999</v>
      </c>
    </row>
    <row r="2585" spans="2:7" ht="15.6" customHeight="1" outlineLevel="3">
      <c r="B2585" s="330" t="s">
        <v>3553</v>
      </c>
      <c r="C2585" s="121" t="s">
        <v>3421</v>
      </c>
      <c r="D2585" s="332" t="s">
        <v>43</v>
      </c>
      <c r="E2585" s="332">
        <v>1</v>
      </c>
      <c r="F2585" s="325">
        <v>23576.18</v>
      </c>
      <c r="G2585" s="436">
        <f t="shared" si="74"/>
        <v>23576.18</v>
      </c>
    </row>
    <row r="2586" spans="2:7" ht="15.6" customHeight="1" outlineLevel="3">
      <c r="B2586" s="330" t="s">
        <v>3554</v>
      </c>
      <c r="C2586" s="121" t="s">
        <v>3423</v>
      </c>
      <c r="D2586" s="332" t="s">
        <v>43</v>
      </c>
      <c r="E2586" s="332">
        <v>1</v>
      </c>
      <c r="F2586" s="325">
        <v>23746.68</v>
      </c>
      <c r="G2586" s="436">
        <f t="shared" si="74"/>
        <v>23746.68</v>
      </c>
    </row>
    <row r="2587" spans="2:7" ht="15.6" customHeight="1" outlineLevel="3">
      <c r="B2587" s="330" t="s">
        <v>3555</v>
      </c>
      <c r="C2587" s="121" t="s">
        <v>3425</v>
      </c>
      <c r="D2587" s="332" t="s">
        <v>43</v>
      </c>
      <c r="E2587" s="332">
        <v>1</v>
      </c>
      <c r="F2587" s="325">
        <v>27108.54</v>
      </c>
      <c r="G2587" s="436">
        <f t="shared" si="74"/>
        <v>27108.54</v>
      </c>
    </row>
    <row r="2588" spans="2:7" ht="15.6" customHeight="1" outlineLevel="3">
      <c r="B2588" s="330" t="s">
        <v>3556</v>
      </c>
      <c r="C2588" s="121" t="s">
        <v>3427</v>
      </c>
      <c r="D2588" s="332" t="s">
        <v>43</v>
      </c>
      <c r="E2588" s="332">
        <v>1</v>
      </c>
      <c r="F2588" s="325">
        <v>23430.27</v>
      </c>
      <c r="G2588" s="436">
        <f t="shared" si="74"/>
        <v>23430.27</v>
      </c>
    </row>
    <row r="2589" spans="2:7" ht="15.6" customHeight="1" outlineLevel="3">
      <c r="B2589" s="330" t="s">
        <v>3557</v>
      </c>
      <c r="C2589" s="121" t="s">
        <v>3558</v>
      </c>
      <c r="D2589" s="332" t="s">
        <v>43</v>
      </c>
      <c r="E2589" s="332">
        <v>1</v>
      </c>
      <c r="F2589" s="325">
        <v>24100.04</v>
      </c>
      <c r="G2589" s="436">
        <f t="shared" si="74"/>
        <v>24100.04</v>
      </c>
    </row>
    <row r="2590" spans="2:7" ht="15.6" customHeight="1" outlineLevel="3">
      <c r="B2590" s="330" t="s">
        <v>3559</v>
      </c>
      <c r="C2590" s="121" t="s">
        <v>3429</v>
      </c>
      <c r="D2590" s="332" t="s">
        <v>43</v>
      </c>
      <c r="E2590" s="332">
        <v>1</v>
      </c>
      <c r="F2590" s="325">
        <v>23686.23</v>
      </c>
      <c r="G2590" s="436">
        <f t="shared" si="74"/>
        <v>23686.23</v>
      </c>
    </row>
    <row r="2591" spans="2:7" ht="15.6" customHeight="1" outlineLevel="3">
      <c r="B2591" s="330" t="s">
        <v>3560</v>
      </c>
      <c r="C2591" s="121" t="s">
        <v>3561</v>
      </c>
      <c r="D2591" s="332" t="s">
        <v>43</v>
      </c>
      <c r="E2591" s="332">
        <v>1</v>
      </c>
      <c r="F2591" s="325">
        <v>31139.599999999999</v>
      </c>
      <c r="G2591" s="436">
        <f t="shared" si="74"/>
        <v>31139.599999999999</v>
      </c>
    </row>
    <row r="2592" spans="2:7" ht="15.6" customHeight="1" outlineLevel="3">
      <c r="B2592" s="330" t="s">
        <v>3562</v>
      </c>
      <c r="C2592" s="121" t="s">
        <v>3431</v>
      </c>
      <c r="D2592" s="332" t="s">
        <v>43</v>
      </c>
      <c r="E2592" s="332">
        <v>1</v>
      </c>
      <c r="F2592" s="325">
        <v>23576.18</v>
      </c>
      <c r="G2592" s="436">
        <f t="shared" si="74"/>
        <v>23576.18</v>
      </c>
    </row>
    <row r="2593" spans="2:7" ht="15.6" customHeight="1" outlineLevel="3">
      <c r="B2593" s="330" t="s">
        <v>3563</v>
      </c>
      <c r="C2593" s="121" t="s">
        <v>3433</v>
      </c>
      <c r="D2593" s="332" t="s">
        <v>43</v>
      </c>
      <c r="E2593" s="332">
        <v>1</v>
      </c>
      <c r="F2593" s="325">
        <v>23747.65</v>
      </c>
      <c r="G2593" s="436">
        <f t="shared" si="74"/>
        <v>23747.65</v>
      </c>
    </row>
    <row r="2594" spans="2:7" ht="15.6" customHeight="1" outlineLevel="3">
      <c r="B2594" s="330" t="s">
        <v>3564</v>
      </c>
      <c r="C2594" s="121" t="s">
        <v>3435</v>
      </c>
      <c r="D2594" s="332" t="s">
        <v>43</v>
      </c>
      <c r="E2594" s="332">
        <v>1</v>
      </c>
      <c r="F2594" s="325">
        <v>23658.48</v>
      </c>
      <c r="G2594" s="436">
        <f t="shared" si="74"/>
        <v>23658.48</v>
      </c>
    </row>
    <row r="2595" spans="2:7" ht="15.6" customHeight="1" outlineLevel="3">
      <c r="B2595" s="330" t="s">
        <v>3565</v>
      </c>
      <c r="C2595" s="121" t="s">
        <v>3437</v>
      </c>
      <c r="D2595" s="332" t="s">
        <v>43</v>
      </c>
      <c r="E2595" s="332">
        <v>1</v>
      </c>
      <c r="F2595" s="325">
        <v>23704.17</v>
      </c>
      <c r="G2595" s="436">
        <f t="shared" si="74"/>
        <v>23704.17</v>
      </c>
    </row>
    <row r="2596" spans="2:7" ht="15.6" customHeight="1" outlineLevel="3">
      <c r="B2596" s="330" t="s">
        <v>3566</v>
      </c>
      <c r="C2596" s="121" t="s">
        <v>3567</v>
      </c>
      <c r="D2596" s="332" t="s">
        <v>43</v>
      </c>
      <c r="E2596" s="332">
        <v>1</v>
      </c>
      <c r="F2596" s="325">
        <v>37629.629999999997</v>
      </c>
      <c r="G2596" s="436">
        <f t="shared" si="74"/>
        <v>37629.629999999997</v>
      </c>
    </row>
    <row r="2597" spans="2:7" ht="15.6" customHeight="1" outlineLevel="3">
      <c r="B2597" s="330" t="s">
        <v>3568</v>
      </c>
      <c r="C2597" s="121" t="s">
        <v>3439</v>
      </c>
      <c r="D2597" s="332" t="s">
        <v>43</v>
      </c>
      <c r="E2597" s="332">
        <v>1</v>
      </c>
      <c r="F2597" s="325">
        <v>23686.23</v>
      </c>
      <c r="G2597" s="436">
        <f t="shared" si="74"/>
        <v>23686.23</v>
      </c>
    </row>
    <row r="2598" spans="2:7" ht="15.6" customHeight="1" outlineLevel="3">
      <c r="B2598" s="330" t="s">
        <v>3569</v>
      </c>
      <c r="C2598" s="121" t="s">
        <v>3570</v>
      </c>
      <c r="D2598" s="332" t="s">
        <v>43</v>
      </c>
      <c r="E2598" s="332">
        <v>1</v>
      </c>
      <c r="F2598" s="325">
        <v>24128.82</v>
      </c>
      <c r="G2598" s="436">
        <f t="shared" si="74"/>
        <v>24128.82</v>
      </c>
    </row>
    <row r="2599" spans="2:7" ht="15.6" customHeight="1" outlineLevel="3">
      <c r="B2599" s="330" t="s">
        <v>3571</v>
      </c>
      <c r="C2599" s="121" t="s">
        <v>3572</v>
      </c>
      <c r="D2599" s="332" t="s">
        <v>43</v>
      </c>
      <c r="E2599" s="332">
        <v>1</v>
      </c>
      <c r="F2599" s="325">
        <v>24128.82</v>
      </c>
      <c r="G2599" s="436">
        <f t="shared" si="74"/>
        <v>24128.82</v>
      </c>
    </row>
    <row r="2600" spans="2:7" ht="15.6" customHeight="1" outlineLevel="3">
      <c r="B2600" s="330" t="s">
        <v>3573</v>
      </c>
      <c r="C2600" s="121" t="s">
        <v>3441</v>
      </c>
      <c r="D2600" s="332" t="s">
        <v>43</v>
      </c>
      <c r="E2600" s="332">
        <v>1</v>
      </c>
      <c r="F2600" s="325">
        <v>59313.38</v>
      </c>
      <c r="G2600" s="436">
        <f t="shared" si="74"/>
        <v>59313.38</v>
      </c>
    </row>
    <row r="2601" spans="2:7" ht="15.6" customHeight="1" outlineLevel="3">
      <c r="B2601" s="330" t="s">
        <v>3574</v>
      </c>
      <c r="C2601" s="121" t="s">
        <v>3443</v>
      </c>
      <c r="D2601" s="332" t="s">
        <v>43</v>
      </c>
      <c r="E2601" s="332">
        <v>1</v>
      </c>
      <c r="F2601" s="325">
        <v>23746.68</v>
      </c>
      <c r="G2601" s="436">
        <f t="shared" si="74"/>
        <v>23746.68</v>
      </c>
    </row>
    <row r="2602" spans="2:7" ht="15.6" customHeight="1" outlineLevel="3">
      <c r="B2602" s="330" t="s">
        <v>3575</v>
      </c>
      <c r="C2602" s="121" t="s">
        <v>3576</v>
      </c>
      <c r="D2602" s="332" t="s">
        <v>43</v>
      </c>
      <c r="E2602" s="332">
        <v>1</v>
      </c>
      <c r="F2602" s="325">
        <v>24128.82</v>
      </c>
      <c r="G2602" s="436">
        <f t="shared" si="74"/>
        <v>24128.82</v>
      </c>
    </row>
    <row r="2603" spans="2:7" ht="15.6" customHeight="1" outlineLevel="3">
      <c r="B2603" s="330" t="s">
        <v>3577</v>
      </c>
      <c r="C2603" s="121" t="s">
        <v>3578</v>
      </c>
      <c r="D2603" s="332" t="s">
        <v>43</v>
      </c>
      <c r="E2603" s="332">
        <v>1</v>
      </c>
      <c r="F2603" s="325">
        <v>24128.82</v>
      </c>
      <c r="G2603" s="436">
        <f t="shared" si="74"/>
        <v>24128.82</v>
      </c>
    </row>
    <row r="2604" spans="2:7" ht="15.6" customHeight="1" outlineLevel="3">
      <c r="B2604" s="330" t="s">
        <v>3579</v>
      </c>
      <c r="C2604" s="121" t="s">
        <v>3580</v>
      </c>
      <c r="D2604" s="332" t="s">
        <v>43</v>
      </c>
      <c r="E2604" s="332">
        <v>1</v>
      </c>
      <c r="F2604" s="325">
        <v>24128.82</v>
      </c>
      <c r="G2604" s="436">
        <f t="shared" si="74"/>
        <v>24128.82</v>
      </c>
    </row>
    <row r="2605" spans="2:7" ht="15.6" customHeight="1" outlineLevel="3">
      <c r="B2605" s="330" t="s">
        <v>3581</v>
      </c>
      <c r="C2605" s="121" t="s">
        <v>3582</v>
      </c>
      <c r="D2605" s="332" t="s">
        <v>43</v>
      </c>
      <c r="E2605" s="332">
        <v>1</v>
      </c>
      <c r="F2605" s="325">
        <v>24128.82</v>
      </c>
      <c r="G2605" s="436">
        <f t="shared" si="74"/>
        <v>24128.82</v>
      </c>
    </row>
    <row r="2606" spans="2:7" ht="15.6" customHeight="1" outlineLevel="3">
      <c r="B2606" s="330" t="s">
        <v>3583</v>
      </c>
      <c r="C2606" s="121" t="s">
        <v>3584</v>
      </c>
      <c r="D2606" s="332" t="s">
        <v>43</v>
      </c>
      <c r="E2606" s="332">
        <v>1</v>
      </c>
      <c r="F2606" s="325">
        <v>24128.82</v>
      </c>
      <c r="G2606" s="436">
        <f t="shared" si="74"/>
        <v>24128.82</v>
      </c>
    </row>
    <row r="2607" spans="2:7" ht="15.6" customHeight="1" outlineLevel="3">
      <c r="B2607" s="330" t="s">
        <v>3585</v>
      </c>
      <c r="C2607" s="121" t="s">
        <v>3586</v>
      </c>
      <c r="D2607" s="332" t="s">
        <v>43</v>
      </c>
      <c r="E2607" s="332">
        <v>1</v>
      </c>
      <c r="F2607" s="325">
        <v>24128.82</v>
      </c>
      <c r="G2607" s="436">
        <f t="shared" si="74"/>
        <v>24128.82</v>
      </c>
    </row>
    <row r="2608" spans="2:7" ht="15.6" customHeight="1" outlineLevel="3">
      <c r="B2608" s="330" t="s">
        <v>3587</v>
      </c>
      <c r="C2608" s="121" t="s">
        <v>3588</v>
      </c>
      <c r="D2608" s="332" t="s">
        <v>43</v>
      </c>
      <c r="E2608" s="332">
        <v>1</v>
      </c>
      <c r="F2608" s="325">
        <v>24128.82</v>
      </c>
      <c r="G2608" s="436">
        <f t="shared" si="74"/>
        <v>24128.82</v>
      </c>
    </row>
    <row r="2609" spans="2:7" ht="15.6" customHeight="1" outlineLevel="3">
      <c r="B2609" s="330" t="s">
        <v>3589</v>
      </c>
      <c r="C2609" s="121" t="s">
        <v>3590</v>
      </c>
      <c r="D2609" s="332" t="s">
        <v>43</v>
      </c>
      <c r="E2609" s="332">
        <v>1</v>
      </c>
      <c r="F2609" s="325">
        <v>24128.82</v>
      </c>
      <c r="G2609" s="436">
        <f t="shared" si="74"/>
        <v>24128.82</v>
      </c>
    </row>
    <row r="2610" spans="2:7" ht="15.6" customHeight="1" outlineLevel="3">
      <c r="B2610" s="330" t="s">
        <v>3591</v>
      </c>
      <c r="C2610" s="121" t="s">
        <v>3592</v>
      </c>
      <c r="D2610" s="332" t="s">
        <v>43</v>
      </c>
      <c r="E2610" s="332">
        <v>1</v>
      </c>
      <c r="F2610" s="325">
        <v>24308.97</v>
      </c>
      <c r="G2610" s="436">
        <f t="shared" si="74"/>
        <v>24308.97</v>
      </c>
    </row>
    <row r="2611" spans="2:7" ht="15.6" customHeight="1" outlineLevel="3">
      <c r="B2611" s="330" t="s">
        <v>3593</v>
      </c>
      <c r="C2611" s="121" t="s">
        <v>3594</v>
      </c>
      <c r="D2611" s="332" t="s">
        <v>43</v>
      </c>
      <c r="E2611" s="332">
        <v>1</v>
      </c>
      <c r="F2611" s="325">
        <v>24308.97</v>
      </c>
      <c r="G2611" s="436">
        <f t="shared" si="74"/>
        <v>24308.97</v>
      </c>
    </row>
    <row r="2612" spans="2:7" ht="15.6" customHeight="1" outlineLevel="3">
      <c r="B2612" s="330" t="s">
        <v>3595</v>
      </c>
      <c r="C2612" s="121" t="s">
        <v>3596</v>
      </c>
      <c r="D2612" s="332" t="s">
        <v>43</v>
      </c>
      <c r="E2612" s="332">
        <v>1</v>
      </c>
      <c r="F2612" s="325">
        <v>24128.82</v>
      </c>
      <c r="G2612" s="436">
        <f t="shared" si="74"/>
        <v>24128.82</v>
      </c>
    </row>
    <row r="2613" spans="2:7" ht="15.6" customHeight="1" outlineLevel="3">
      <c r="B2613" s="330" t="s">
        <v>3597</v>
      </c>
      <c r="C2613" s="121" t="s">
        <v>3598</v>
      </c>
      <c r="D2613" s="332" t="s">
        <v>43</v>
      </c>
      <c r="E2613" s="332">
        <v>1</v>
      </c>
      <c r="F2613" s="325">
        <v>24128.82</v>
      </c>
      <c r="G2613" s="436">
        <f t="shared" si="74"/>
        <v>24128.82</v>
      </c>
    </row>
    <row r="2614" spans="2:7" ht="15.6" customHeight="1" outlineLevel="3">
      <c r="B2614" s="330" t="s">
        <v>3599</v>
      </c>
      <c r="C2614" s="121" t="s">
        <v>3600</v>
      </c>
      <c r="D2614" s="332" t="s">
        <v>43</v>
      </c>
      <c r="E2614" s="332">
        <v>1</v>
      </c>
      <c r="F2614" s="325">
        <v>24128.82</v>
      </c>
      <c r="G2614" s="436">
        <f t="shared" si="74"/>
        <v>24128.82</v>
      </c>
    </row>
    <row r="2615" spans="2:7" ht="15.6" customHeight="1" outlineLevel="3">
      <c r="B2615" s="330" t="s">
        <v>3601</v>
      </c>
      <c r="C2615" s="121" t="s">
        <v>3602</v>
      </c>
      <c r="D2615" s="332" t="s">
        <v>43</v>
      </c>
      <c r="E2615" s="332">
        <v>1</v>
      </c>
      <c r="F2615" s="325">
        <v>24128.82</v>
      </c>
      <c r="G2615" s="436">
        <f t="shared" si="74"/>
        <v>24128.82</v>
      </c>
    </row>
    <row r="2616" spans="2:7" ht="15.6" customHeight="1" outlineLevel="3">
      <c r="B2616" s="330" t="s">
        <v>3603</v>
      </c>
      <c r="C2616" s="121" t="s">
        <v>3604</v>
      </c>
      <c r="D2616" s="332" t="s">
        <v>43</v>
      </c>
      <c r="E2616" s="332">
        <v>1</v>
      </c>
      <c r="F2616" s="325">
        <v>24128.82</v>
      </c>
      <c r="G2616" s="436">
        <f t="shared" si="74"/>
        <v>24128.82</v>
      </c>
    </row>
    <row r="2617" spans="2:7" ht="15.6" customHeight="1" outlineLevel="3">
      <c r="B2617" s="330" t="s">
        <v>3605</v>
      </c>
      <c r="C2617" s="121" t="s">
        <v>3606</v>
      </c>
      <c r="D2617" s="332" t="s">
        <v>43</v>
      </c>
      <c r="E2617" s="332">
        <v>1</v>
      </c>
      <c r="F2617" s="325">
        <v>24128.82</v>
      </c>
      <c r="G2617" s="436">
        <f t="shared" si="74"/>
        <v>24128.82</v>
      </c>
    </row>
    <row r="2618" spans="2:7" ht="15.6" customHeight="1" outlineLevel="3">
      <c r="B2618" s="331" t="s">
        <v>3607</v>
      </c>
      <c r="C2618" s="324" t="s">
        <v>2985</v>
      </c>
      <c r="D2618" s="332"/>
      <c r="E2618" s="332"/>
      <c r="F2618" s="325"/>
      <c r="G2618" s="435">
        <f>+SUBTOTAL(9,G2619:G2633)</f>
        <v>720690.07000000007</v>
      </c>
    </row>
    <row r="2619" spans="2:7" ht="15.6" customHeight="1" outlineLevel="3">
      <c r="B2619" s="330" t="s">
        <v>3608</v>
      </c>
      <c r="C2619" s="121" t="s">
        <v>3452</v>
      </c>
      <c r="D2619" s="332" t="s">
        <v>43</v>
      </c>
      <c r="E2619" s="332">
        <v>10</v>
      </c>
      <c r="F2619" s="325">
        <v>14926.24</v>
      </c>
      <c r="G2619" s="436">
        <f t="shared" ref="G2619:G2633" si="75">ROUND(E2619*F2619,2)</f>
        <v>149262.39999999999</v>
      </c>
    </row>
    <row r="2620" spans="2:7" ht="15.6" customHeight="1" outlineLevel="3">
      <c r="B2620" s="330" t="s">
        <v>3609</v>
      </c>
      <c r="C2620" s="121" t="s">
        <v>3454</v>
      </c>
      <c r="D2620" s="332" t="s">
        <v>43</v>
      </c>
      <c r="E2620" s="332">
        <v>2</v>
      </c>
      <c r="F2620" s="325">
        <v>15804.07</v>
      </c>
      <c r="G2620" s="436">
        <f t="shared" si="75"/>
        <v>31608.14</v>
      </c>
    </row>
    <row r="2621" spans="2:7" ht="15.6" customHeight="1" outlineLevel="3">
      <c r="B2621" s="330" t="s">
        <v>3610</v>
      </c>
      <c r="C2621" s="121" t="s">
        <v>3456</v>
      </c>
      <c r="D2621" s="332" t="s">
        <v>43</v>
      </c>
      <c r="E2621" s="332">
        <v>6</v>
      </c>
      <c r="F2621" s="325">
        <v>20792.45</v>
      </c>
      <c r="G2621" s="436">
        <f t="shared" si="75"/>
        <v>124754.7</v>
      </c>
    </row>
    <row r="2622" spans="2:7" ht="15.6" customHeight="1" outlineLevel="3">
      <c r="B2622" s="330" t="s">
        <v>3611</v>
      </c>
      <c r="C2622" s="121" t="s">
        <v>3458</v>
      </c>
      <c r="D2622" s="332" t="s">
        <v>43</v>
      </c>
      <c r="E2622" s="332">
        <v>6</v>
      </c>
      <c r="F2622" s="325">
        <v>15510.18</v>
      </c>
      <c r="G2622" s="436">
        <f t="shared" si="75"/>
        <v>93061.08</v>
      </c>
    </row>
    <row r="2623" spans="2:7" ht="15.6" customHeight="1" outlineLevel="3">
      <c r="B2623" s="330" t="s">
        <v>3612</v>
      </c>
      <c r="C2623" s="121" t="s">
        <v>3613</v>
      </c>
      <c r="D2623" s="332" t="s">
        <v>43</v>
      </c>
      <c r="E2623" s="332">
        <v>2</v>
      </c>
      <c r="F2623" s="325">
        <v>16730.54</v>
      </c>
      <c r="G2623" s="436">
        <f t="shared" si="75"/>
        <v>33461.08</v>
      </c>
    </row>
    <row r="2624" spans="2:7" ht="15.6" customHeight="1" outlineLevel="3">
      <c r="B2624" s="330" t="s">
        <v>3614</v>
      </c>
      <c r="C2624" s="121" t="s">
        <v>3615</v>
      </c>
      <c r="D2624" s="332" t="s">
        <v>43</v>
      </c>
      <c r="E2624" s="332">
        <v>2</v>
      </c>
      <c r="F2624" s="325">
        <v>21787.24</v>
      </c>
      <c r="G2624" s="436">
        <f t="shared" si="75"/>
        <v>43574.48</v>
      </c>
    </row>
    <row r="2625" spans="2:7" ht="15.6" customHeight="1" outlineLevel="3">
      <c r="B2625" s="330" t="s">
        <v>3616</v>
      </c>
      <c r="C2625" s="121" t="s">
        <v>3617</v>
      </c>
      <c r="D2625" s="332" t="s">
        <v>43</v>
      </c>
      <c r="E2625" s="332">
        <v>1</v>
      </c>
      <c r="F2625" s="325">
        <v>16538.43</v>
      </c>
      <c r="G2625" s="436">
        <f t="shared" si="75"/>
        <v>16538.43</v>
      </c>
    </row>
    <row r="2626" spans="2:7" ht="15.6" customHeight="1" outlineLevel="3">
      <c r="B2626" s="330" t="s">
        <v>3618</v>
      </c>
      <c r="C2626" s="121" t="s">
        <v>3619</v>
      </c>
      <c r="D2626" s="332" t="s">
        <v>43</v>
      </c>
      <c r="E2626" s="332">
        <v>1</v>
      </c>
      <c r="F2626" s="325">
        <v>17841.400000000001</v>
      </c>
      <c r="G2626" s="436">
        <f t="shared" si="75"/>
        <v>17841.400000000001</v>
      </c>
    </row>
    <row r="2627" spans="2:7" ht="15.6" customHeight="1" outlineLevel="3">
      <c r="B2627" s="330" t="s">
        <v>3620</v>
      </c>
      <c r="C2627" s="121" t="s">
        <v>3621</v>
      </c>
      <c r="D2627" s="332" t="s">
        <v>43</v>
      </c>
      <c r="E2627" s="332">
        <v>1</v>
      </c>
      <c r="F2627" s="325">
        <v>23251.85</v>
      </c>
      <c r="G2627" s="436">
        <f t="shared" si="75"/>
        <v>23251.85</v>
      </c>
    </row>
    <row r="2628" spans="2:7" ht="15.6" customHeight="1" outlineLevel="3">
      <c r="B2628" s="330" t="s">
        <v>3622</v>
      </c>
      <c r="C2628" s="121" t="s">
        <v>3623</v>
      </c>
      <c r="D2628" s="332" t="s">
        <v>43</v>
      </c>
      <c r="E2628" s="332">
        <v>1</v>
      </c>
      <c r="F2628" s="325">
        <v>16828.759999999998</v>
      </c>
      <c r="G2628" s="436">
        <f t="shared" si="75"/>
        <v>16828.759999999998</v>
      </c>
    </row>
    <row r="2629" spans="2:7" ht="15.6" customHeight="1" outlineLevel="3">
      <c r="B2629" s="330" t="s">
        <v>3624</v>
      </c>
      <c r="C2629" s="121" t="s">
        <v>3625</v>
      </c>
      <c r="D2629" s="332" t="s">
        <v>43</v>
      </c>
      <c r="E2629" s="332">
        <v>1</v>
      </c>
      <c r="F2629" s="325">
        <v>23685.56</v>
      </c>
      <c r="G2629" s="436">
        <f t="shared" si="75"/>
        <v>23685.56</v>
      </c>
    </row>
    <row r="2630" spans="2:7" ht="15.6" customHeight="1" outlineLevel="3">
      <c r="B2630" s="330" t="s">
        <v>3626</v>
      </c>
      <c r="C2630" s="121" t="s">
        <v>3460</v>
      </c>
      <c r="D2630" s="332" t="s">
        <v>43</v>
      </c>
      <c r="E2630" s="332">
        <v>2</v>
      </c>
      <c r="F2630" s="325">
        <v>16494.650000000001</v>
      </c>
      <c r="G2630" s="436">
        <f t="shared" si="75"/>
        <v>32989.300000000003</v>
      </c>
    </row>
    <row r="2631" spans="2:7" ht="15.6" customHeight="1" outlineLevel="3">
      <c r="B2631" s="330" t="s">
        <v>3627</v>
      </c>
      <c r="C2631" s="121" t="s">
        <v>3628</v>
      </c>
      <c r="D2631" s="332" t="s">
        <v>43</v>
      </c>
      <c r="E2631" s="332">
        <v>2</v>
      </c>
      <c r="F2631" s="325">
        <v>26449.91</v>
      </c>
      <c r="G2631" s="436">
        <f t="shared" si="75"/>
        <v>52899.82</v>
      </c>
    </row>
    <row r="2632" spans="2:7" ht="15.6" customHeight="1" outlineLevel="3">
      <c r="B2632" s="330" t="s">
        <v>3629</v>
      </c>
      <c r="C2632" s="121" t="s">
        <v>3630</v>
      </c>
      <c r="D2632" s="332" t="s">
        <v>43</v>
      </c>
      <c r="E2632" s="332">
        <v>2</v>
      </c>
      <c r="F2632" s="325">
        <v>17865.41</v>
      </c>
      <c r="G2632" s="436">
        <f t="shared" si="75"/>
        <v>35730.82</v>
      </c>
    </row>
    <row r="2633" spans="2:7" ht="15.6" customHeight="1" outlineLevel="3">
      <c r="B2633" s="330" t="s">
        <v>3631</v>
      </c>
      <c r="C2633" s="121" t="s">
        <v>3632</v>
      </c>
      <c r="D2633" s="332" t="s">
        <v>43</v>
      </c>
      <c r="E2633" s="332">
        <v>1</v>
      </c>
      <c r="F2633" s="325">
        <v>25202.25</v>
      </c>
      <c r="G2633" s="436">
        <f t="shared" si="75"/>
        <v>25202.25</v>
      </c>
    </row>
    <row r="2634" spans="2:7" outlineLevel="3">
      <c r="B2634" s="331" t="s">
        <v>3633</v>
      </c>
      <c r="C2634" s="324" t="s">
        <v>3470</v>
      </c>
      <c r="D2634" s="332"/>
      <c r="E2634" s="332"/>
      <c r="F2634" s="325"/>
      <c r="G2634" s="435">
        <f>+SUBTOTAL(9,G2635)</f>
        <v>8669.15</v>
      </c>
    </row>
    <row r="2635" spans="2:7" ht="14.1" customHeight="1" outlineLevel="3">
      <c r="B2635" s="330" t="s">
        <v>3634</v>
      </c>
      <c r="C2635" s="121" t="s">
        <v>3635</v>
      </c>
      <c r="D2635" s="332" t="s">
        <v>1872</v>
      </c>
      <c r="E2635" s="332">
        <v>1</v>
      </c>
      <c r="F2635" s="325">
        <v>8669.15</v>
      </c>
      <c r="G2635" s="436">
        <f>ROUND(E2635*F2635,2)</f>
        <v>8669.15</v>
      </c>
    </row>
    <row r="2636" spans="2:7" ht="14.1" customHeight="1" outlineLevel="3">
      <c r="B2636" s="331" t="s">
        <v>3636</v>
      </c>
      <c r="C2636" s="324" t="s">
        <v>2954</v>
      </c>
      <c r="D2636" s="332"/>
      <c r="E2636" s="332"/>
      <c r="F2636" s="325"/>
      <c r="G2636" s="435">
        <f>+SUBTOTAL(9,G2637:G2639)</f>
        <v>1186686.1099999999</v>
      </c>
    </row>
    <row r="2637" spans="2:7" ht="14.1" customHeight="1" outlineLevel="3">
      <c r="B2637" s="330" t="s">
        <v>3637</v>
      </c>
      <c r="C2637" s="121" t="s">
        <v>3038</v>
      </c>
      <c r="D2637" s="332" t="s">
        <v>57</v>
      </c>
      <c r="E2637" s="332">
        <v>447.52</v>
      </c>
      <c r="F2637" s="325">
        <v>160.06</v>
      </c>
      <c r="G2637" s="436">
        <f>ROUND(E2637*F2637,2)</f>
        <v>71630.05</v>
      </c>
    </row>
    <row r="2638" spans="2:7" ht="14.1" customHeight="1" outlineLevel="3">
      <c r="B2638" s="330" t="s">
        <v>3638</v>
      </c>
      <c r="C2638" s="121" t="s">
        <v>3476</v>
      </c>
      <c r="D2638" s="332" t="s">
        <v>57</v>
      </c>
      <c r="E2638" s="327">
        <v>6572.47</v>
      </c>
      <c r="F2638" s="325">
        <v>166.34</v>
      </c>
      <c r="G2638" s="436">
        <f>ROUND(E2638*F2638,2)</f>
        <v>1093264.6599999999</v>
      </c>
    </row>
    <row r="2639" spans="2:7" outlineLevel="3">
      <c r="B2639" s="330" t="s">
        <v>3639</v>
      </c>
      <c r="C2639" s="121" t="s">
        <v>3640</v>
      </c>
      <c r="D2639" s="332" t="s">
        <v>57</v>
      </c>
      <c r="E2639" s="332">
        <v>101.2</v>
      </c>
      <c r="F2639" s="325">
        <v>215.33</v>
      </c>
      <c r="G2639" s="436">
        <f>ROUND(E2639*F2639,2)</f>
        <v>21791.4</v>
      </c>
    </row>
    <row r="2640" spans="2:7" outlineLevel="2">
      <c r="B2640" s="331" t="s">
        <v>3641</v>
      </c>
      <c r="C2640" s="324" t="s">
        <v>3642</v>
      </c>
      <c r="D2640" s="332"/>
      <c r="E2640" s="332"/>
      <c r="F2640" s="325"/>
      <c r="G2640" s="435">
        <f>+SUBTOTAL(9,G2641:G2672)</f>
        <v>392911.52999999997</v>
      </c>
    </row>
    <row r="2641" spans="2:7" outlineLevel="3">
      <c r="B2641" s="331" t="s">
        <v>3643</v>
      </c>
      <c r="C2641" s="324" t="s">
        <v>1600</v>
      </c>
      <c r="D2641" s="332"/>
      <c r="E2641" s="332"/>
      <c r="F2641" s="325"/>
      <c r="G2641" s="435">
        <f>+SUBTOTAL(9,G2642:G2644)</f>
        <v>2912.59</v>
      </c>
    </row>
    <row r="2642" spans="2:7" outlineLevel="3">
      <c r="B2642" s="330" t="s">
        <v>3644</v>
      </c>
      <c r="C2642" s="121" t="s">
        <v>3345</v>
      </c>
      <c r="D2642" s="332" t="s">
        <v>43</v>
      </c>
      <c r="E2642" s="332">
        <v>2</v>
      </c>
      <c r="F2642" s="325">
        <v>42.06</v>
      </c>
      <c r="G2642" s="436">
        <f>ROUND(E2642*F2642,2)</f>
        <v>84.12</v>
      </c>
    </row>
    <row r="2643" spans="2:7" outlineLevel="3">
      <c r="B2643" s="330" t="s">
        <v>3645</v>
      </c>
      <c r="C2643" s="121" t="s">
        <v>3347</v>
      </c>
      <c r="D2643" s="332" t="s">
        <v>43</v>
      </c>
      <c r="E2643" s="332">
        <v>19</v>
      </c>
      <c r="F2643" s="325">
        <v>99.61</v>
      </c>
      <c r="G2643" s="436">
        <f>ROUND(E2643*F2643,2)</f>
        <v>1892.59</v>
      </c>
    </row>
    <row r="2644" spans="2:7" outlineLevel="3">
      <c r="B2644" s="330" t="s">
        <v>3646</v>
      </c>
      <c r="C2644" s="121" t="s">
        <v>1602</v>
      </c>
      <c r="D2644" s="332" t="s">
        <v>43</v>
      </c>
      <c r="E2644" s="332">
        <v>12</v>
      </c>
      <c r="F2644" s="325">
        <v>77.989999999999995</v>
      </c>
      <c r="G2644" s="436">
        <f>ROUND(E2644*F2644,2)</f>
        <v>935.88</v>
      </c>
    </row>
    <row r="2645" spans="2:7" outlineLevel="3">
      <c r="B2645" s="331" t="s">
        <v>3647</v>
      </c>
      <c r="C2645" s="324" t="s">
        <v>1585</v>
      </c>
      <c r="D2645" s="332"/>
      <c r="E2645" s="332"/>
      <c r="F2645" s="325"/>
      <c r="G2645" s="435">
        <f>+SUBTOTAL(9,G2646:G2649)</f>
        <v>84778.540000000008</v>
      </c>
    </row>
    <row r="2646" spans="2:7" ht="14.45" customHeight="1" outlineLevel="3">
      <c r="B2646" s="330" t="s">
        <v>3648</v>
      </c>
      <c r="C2646" s="121" t="s">
        <v>3649</v>
      </c>
      <c r="D2646" s="332" t="s">
        <v>64</v>
      </c>
      <c r="E2646" s="332">
        <v>64.010000000000005</v>
      </c>
      <c r="F2646" s="325">
        <v>29.45</v>
      </c>
      <c r="G2646" s="436">
        <f>ROUND(E2646*F2646,2)</f>
        <v>1885.09</v>
      </c>
    </row>
    <row r="2647" spans="2:7" ht="18.95" customHeight="1" outlineLevel="3">
      <c r="B2647" s="330" t="s">
        <v>3650</v>
      </c>
      <c r="C2647" s="121" t="s">
        <v>3651</v>
      </c>
      <c r="D2647" s="332" t="s">
        <v>64</v>
      </c>
      <c r="E2647" s="332">
        <v>220.24</v>
      </c>
      <c r="F2647" s="325">
        <v>42.97</v>
      </c>
      <c r="G2647" s="436">
        <f>ROUND(E2647*F2647,2)</f>
        <v>9463.7099999999991</v>
      </c>
    </row>
    <row r="2648" spans="2:7" ht="18.95" customHeight="1" outlineLevel="3">
      <c r="B2648" s="330" t="s">
        <v>3652</v>
      </c>
      <c r="C2648" s="121" t="s">
        <v>3653</v>
      </c>
      <c r="D2648" s="332" t="s">
        <v>64</v>
      </c>
      <c r="E2648" s="332">
        <v>932.01</v>
      </c>
      <c r="F2648" s="325">
        <v>52.75</v>
      </c>
      <c r="G2648" s="436">
        <f>ROUND(E2648*F2648,2)</f>
        <v>49163.53</v>
      </c>
    </row>
    <row r="2649" spans="2:7" outlineLevel="3">
      <c r="B2649" s="330" t="s">
        <v>3654</v>
      </c>
      <c r="C2649" s="121" t="s">
        <v>3655</v>
      </c>
      <c r="D2649" s="332" t="s">
        <v>1872</v>
      </c>
      <c r="E2649" s="332">
        <v>1</v>
      </c>
      <c r="F2649" s="325">
        <v>24266.21</v>
      </c>
      <c r="G2649" s="436">
        <f>ROUND(E2649*F2649,2)</f>
        <v>24266.21</v>
      </c>
    </row>
    <row r="2650" spans="2:7" outlineLevel="3">
      <c r="B2650" s="331" t="s">
        <v>3656</v>
      </c>
      <c r="C2650" s="324" t="s">
        <v>3515</v>
      </c>
      <c r="D2650" s="332"/>
      <c r="E2650" s="332"/>
      <c r="F2650" s="325"/>
      <c r="G2650" s="435">
        <f>+SUBTOTAL(9,G2651)</f>
        <v>8130</v>
      </c>
    </row>
    <row r="2651" spans="2:7" ht="30" outlineLevel="3">
      <c r="B2651" s="330" t="s">
        <v>3657</v>
      </c>
      <c r="C2651" s="121" t="s">
        <v>3658</v>
      </c>
      <c r="D2651" s="332" t="s">
        <v>43</v>
      </c>
      <c r="E2651" s="332">
        <v>2</v>
      </c>
      <c r="F2651" s="325">
        <v>4065</v>
      </c>
      <c r="G2651" s="436">
        <f>ROUND(E2651*F2651,2)</f>
        <v>8130</v>
      </c>
    </row>
    <row r="2652" spans="2:7" outlineLevel="3">
      <c r="B2652" s="331" t="s">
        <v>3659</v>
      </c>
      <c r="C2652" s="324" t="s">
        <v>3383</v>
      </c>
      <c r="D2652" s="332"/>
      <c r="E2652" s="332"/>
      <c r="F2652" s="325"/>
      <c r="G2652" s="435">
        <f>+SUBTOTAL(9,G2653:G2656)</f>
        <v>18014.47</v>
      </c>
    </row>
    <row r="2653" spans="2:7" outlineLevel="3">
      <c r="B2653" s="330" t="s">
        <v>3660</v>
      </c>
      <c r="C2653" s="121" t="s">
        <v>3385</v>
      </c>
      <c r="D2653" s="332" t="s">
        <v>43</v>
      </c>
      <c r="E2653" s="332">
        <v>5</v>
      </c>
      <c r="F2653" s="325">
        <v>1038.8499999999999</v>
      </c>
      <c r="G2653" s="436">
        <f>ROUND(E2653*F2653,2)</f>
        <v>5194.25</v>
      </c>
    </row>
    <row r="2654" spans="2:7" outlineLevel="3">
      <c r="B2654" s="330" t="s">
        <v>3661</v>
      </c>
      <c r="C2654" s="121" t="s">
        <v>3387</v>
      </c>
      <c r="D2654" s="332" t="s">
        <v>43</v>
      </c>
      <c r="E2654" s="332">
        <v>1</v>
      </c>
      <c r="F2654" s="325">
        <v>1406.93</v>
      </c>
      <c r="G2654" s="436">
        <f>ROUND(E2654*F2654,2)</f>
        <v>1406.93</v>
      </c>
    </row>
    <row r="2655" spans="2:7" outlineLevel="3">
      <c r="B2655" s="330" t="s">
        <v>3662</v>
      </c>
      <c r="C2655" s="121" t="s">
        <v>3389</v>
      </c>
      <c r="D2655" s="332" t="s">
        <v>43</v>
      </c>
      <c r="E2655" s="332">
        <v>1</v>
      </c>
      <c r="F2655" s="325">
        <v>1602.49</v>
      </c>
      <c r="G2655" s="436">
        <f>ROUND(E2655*F2655,2)</f>
        <v>1602.49</v>
      </c>
    </row>
    <row r="2656" spans="2:7" outlineLevel="3">
      <c r="B2656" s="330" t="s">
        <v>3663</v>
      </c>
      <c r="C2656" s="121" t="s">
        <v>3151</v>
      </c>
      <c r="D2656" s="332" t="s">
        <v>43</v>
      </c>
      <c r="E2656" s="332">
        <v>4</v>
      </c>
      <c r="F2656" s="325">
        <v>2452.6999999999998</v>
      </c>
      <c r="G2656" s="436">
        <f>ROUND(E2656*F2656,2)</f>
        <v>9810.7999999999993</v>
      </c>
    </row>
    <row r="2657" spans="2:7" outlineLevel="3">
      <c r="B2657" s="331" t="s">
        <v>3664</v>
      </c>
      <c r="C2657" s="324" t="s">
        <v>3665</v>
      </c>
      <c r="D2657" s="332"/>
      <c r="E2657" s="332"/>
      <c r="F2657" s="325"/>
      <c r="G2657" s="435">
        <f>+SUBTOTAL(9,G2658:G2661)</f>
        <v>9451.869999999999</v>
      </c>
    </row>
    <row r="2658" spans="2:7" outlineLevel="3">
      <c r="B2658" s="331" t="s">
        <v>3666</v>
      </c>
      <c r="C2658" s="324" t="s">
        <v>2979</v>
      </c>
      <c r="D2658" s="332"/>
      <c r="E2658" s="332"/>
      <c r="F2658" s="325"/>
      <c r="G2658" s="435">
        <f>+SUBTOTAL(9,G2659)</f>
        <v>2742.47</v>
      </c>
    </row>
    <row r="2659" spans="2:7" outlineLevel="3">
      <c r="B2659" s="330" t="s">
        <v>3667</v>
      </c>
      <c r="C2659" s="121" t="s">
        <v>3668</v>
      </c>
      <c r="D2659" s="332" t="s">
        <v>43</v>
      </c>
      <c r="E2659" s="332">
        <v>1</v>
      </c>
      <c r="F2659" s="325">
        <v>2742.47</v>
      </c>
      <c r="G2659" s="436">
        <f>ROUND(E2659*F2659,2)</f>
        <v>2742.47</v>
      </c>
    </row>
    <row r="2660" spans="2:7" outlineLevel="3">
      <c r="B2660" s="331" t="s">
        <v>3669</v>
      </c>
      <c r="C2660" s="324" t="s">
        <v>2985</v>
      </c>
      <c r="D2660" s="332"/>
      <c r="E2660" s="332"/>
      <c r="F2660" s="325"/>
      <c r="G2660" s="435">
        <f>+SUBTOTAL(9,G2661)</f>
        <v>6709.4</v>
      </c>
    </row>
    <row r="2661" spans="2:7" outlineLevel="3">
      <c r="B2661" s="330" t="s">
        <v>3670</v>
      </c>
      <c r="C2661" s="121" t="s">
        <v>2989</v>
      </c>
      <c r="D2661" s="332" t="s">
        <v>43</v>
      </c>
      <c r="E2661" s="332">
        <v>1</v>
      </c>
      <c r="F2661" s="325">
        <v>6709.4</v>
      </c>
      <c r="G2661" s="436">
        <f>ROUND(E2661*F2661,2)</f>
        <v>6709.4</v>
      </c>
    </row>
    <row r="2662" spans="2:7" outlineLevel="3">
      <c r="B2662" s="331" t="s">
        <v>3671</v>
      </c>
      <c r="C2662" s="324" t="s">
        <v>3408</v>
      </c>
      <c r="D2662" s="332"/>
      <c r="E2662" s="332"/>
      <c r="F2662" s="325"/>
      <c r="G2662" s="435">
        <f>+SUBTOTAL(9,G2663:G2668)</f>
        <v>95489.290000000008</v>
      </c>
    </row>
    <row r="2663" spans="2:7" outlineLevel="3">
      <c r="B2663" s="331" t="s">
        <v>3672</v>
      </c>
      <c r="C2663" s="324" t="s">
        <v>2932</v>
      </c>
      <c r="D2663" s="332"/>
      <c r="E2663" s="332"/>
      <c r="F2663" s="325"/>
      <c r="G2663" s="435">
        <f>+SUBTOTAL(9,G2664:G2665)</f>
        <v>61129.229999999996</v>
      </c>
    </row>
    <row r="2664" spans="2:7" ht="15.6" customHeight="1" outlineLevel="3">
      <c r="B2664" s="330" t="s">
        <v>3673</v>
      </c>
      <c r="C2664" s="121" t="s">
        <v>3411</v>
      </c>
      <c r="D2664" s="332" t="s">
        <v>43</v>
      </c>
      <c r="E2664" s="332">
        <v>1</v>
      </c>
      <c r="F2664" s="325">
        <v>31328.43</v>
      </c>
      <c r="G2664" s="436">
        <f>ROUND(E2664*F2664,2)</f>
        <v>31328.43</v>
      </c>
    </row>
    <row r="2665" spans="2:7" ht="15.6" customHeight="1" outlineLevel="3">
      <c r="B2665" s="330" t="s">
        <v>3674</v>
      </c>
      <c r="C2665" s="121" t="s">
        <v>3544</v>
      </c>
      <c r="D2665" s="332" t="s">
        <v>43</v>
      </c>
      <c r="E2665" s="332">
        <v>1</v>
      </c>
      <c r="F2665" s="325">
        <v>29800.799999999999</v>
      </c>
      <c r="G2665" s="436">
        <f>ROUND(E2665*F2665,2)</f>
        <v>29800.799999999999</v>
      </c>
    </row>
    <row r="2666" spans="2:7" ht="15.6" customHeight="1" outlineLevel="3">
      <c r="B2666" s="331" t="s">
        <v>3675</v>
      </c>
      <c r="C2666" s="324" t="s">
        <v>2985</v>
      </c>
      <c r="D2666" s="332"/>
      <c r="E2666" s="332"/>
      <c r="F2666" s="325"/>
      <c r="G2666" s="435">
        <f>+SUBTOTAL(9,G2667:G2668)</f>
        <v>34360.06</v>
      </c>
    </row>
    <row r="2667" spans="2:7" ht="15.6" customHeight="1" outlineLevel="3">
      <c r="B2667" s="330" t="s">
        <v>3676</v>
      </c>
      <c r="C2667" s="121" t="s">
        <v>3460</v>
      </c>
      <c r="D2667" s="332" t="s">
        <v>43</v>
      </c>
      <c r="E2667" s="332">
        <v>1</v>
      </c>
      <c r="F2667" s="325">
        <v>16494.650000000001</v>
      </c>
      <c r="G2667" s="436">
        <f>ROUND(E2667*F2667,2)</f>
        <v>16494.650000000001</v>
      </c>
    </row>
    <row r="2668" spans="2:7" ht="15.6" customHeight="1" outlineLevel="3">
      <c r="B2668" s="330" t="s">
        <v>3677</v>
      </c>
      <c r="C2668" s="121" t="s">
        <v>3630</v>
      </c>
      <c r="D2668" s="332" t="s">
        <v>43</v>
      </c>
      <c r="E2668" s="332">
        <v>1</v>
      </c>
      <c r="F2668" s="325">
        <v>17865.41</v>
      </c>
      <c r="G2668" s="436">
        <f>ROUND(E2668*F2668,2)</f>
        <v>17865.41</v>
      </c>
    </row>
    <row r="2669" spans="2:7" ht="15.6" customHeight="1" outlineLevel="3">
      <c r="B2669" s="331" t="s">
        <v>3678</v>
      </c>
      <c r="C2669" s="324" t="s">
        <v>3470</v>
      </c>
      <c r="D2669" s="332"/>
      <c r="E2669" s="332"/>
      <c r="F2669" s="325"/>
      <c r="G2669" s="435">
        <f>+SUBTOTAL(9,G2670)</f>
        <v>8669.15</v>
      </c>
    </row>
    <row r="2670" spans="2:7" ht="15.6" customHeight="1" outlineLevel="3">
      <c r="B2670" s="330" t="s">
        <v>3679</v>
      </c>
      <c r="C2670" s="121" t="s">
        <v>3680</v>
      </c>
      <c r="D2670" s="332" t="s">
        <v>1872</v>
      </c>
      <c r="E2670" s="332">
        <v>1</v>
      </c>
      <c r="F2670" s="325">
        <v>8669.15</v>
      </c>
      <c r="G2670" s="436">
        <f>ROUND(E2670*F2670,2)</f>
        <v>8669.15</v>
      </c>
    </row>
    <row r="2671" spans="2:7" ht="15.6" customHeight="1" outlineLevel="3">
      <c r="B2671" s="331" t="s">
        <v>3681</v>
      </c>
      <c r="C2671" s="324" t="s">
        <v>2954</v>
      </c>
      <c r="D2671" s="332"/>
      <c r="E2671" s="332"/>
      <c r="F2671" s="325"/>
      <c r="G2671" s="435">
        <f>+SUBTOTAL(9,G2672)</f>
        <v>165465.62</v>
      </c>
    </row>
    <row r="2672" spans="2:7" ht="15.6" customHeight="1" outlineLevel="3">
      <c r="B2672" s="330" t="s">
        <v>3682</v>
      </c>
      <c r="C2672" s="121" t="s">
        <v>1625</v>
      </c>
      <c r="D2672" s="332" t="s">
        <v>57</v>
      </c>
      <c r="E2672" s="332">
        <v>895.91</v>
      </c>
      <c r="F2672" s="325">
        <v>184.69</v>
      </c>
      <c r="G2672" s="436">
        <f>ROUND(E2672*F2672,2)</f>
        <v>165465.62</v>
      </c>
    </row>
    <row r="2673" spans="2:7" outlineLevel="1">
      <c r="B2673" s="331">
        <v>3.04</v>
      </c>
      <c r="C2673" s="324" t="s">
        <v>3683</v>
      </c>
      <c r="D2673" s="332"/>
      <c r="E2673" s="332"/>
      <c r="F2673" s="325"/>
      <c r="G2673" s="435">
        <f>+SUBTOTAL(9,G2674:G2739)</f>
        <v>2010233.49</v>
      </c>
    </row>
    <row r="2674" spans="2:7" outlineLevel="2" collapsed="1">
      <c r="B2674" s="331" t="s">
        <v>3684</v>
      </c>
      <c r="C2674" s="324" t="s">
        <v>3340</v>
      </c>
      <c r="D2674" s="332"/>
      <c r="E2674" s="332"/>
      <c r="F2674" s="325"/>
      <c r="G2674" s="435">
        <f>+SUBTOTAL(9,G2675:G2696)</f>
        <v>585289.75</v>
      </c>
    </row>
    <row r="2675" spans="2:7" hidden="1" outlineLevel="3">
      <c r="B2675" s="331" t="s">
        <v>3685</v>
      </c>
      <c r="C2675" s="324" t="s">
        <v>3686</v>
      </c>
      <c r="D2675" s="332"/>
      <c r="E2675" s="332"/>
      <c r="F2675" s="325"/>
      <c r="G2675" s="435">
        <f>+SUBTOTAL(9,G2676:G2678)</f>
        <v>66020.45</v>
      </c>
    </row>
    <row r="2676" spans="2:7" ht="17.100000000000001" hidden="1" customHeight="1" outlineLevel="3">
      <c r="B2676" s="330" t="s">
        <v>3687</v>
      </c>
      <c r="C2676" s="121" t="s">
        <v>3688</v>
      </c>
      <c r="D2676" s="332" t="s">
        <v>57</v>
      </c>
      <c r="E2676" s="332">
        <v>39.42</v>
      </c>
      <c r="F2676" s="325">
        <v>139.62</v>
      </c>
      <c r="G2676" s="436">
        <f>ROUND(E2676*F2676,2)</f>
        <v>5503.82</v>
      </c>
    </row>
    <row r="2677" spans="2:7" ht="17.100000000000001" hidden="1" customHeight="1" outlineLevel="3">
      <c r="B2677" s="330" t="s">
        <v>3689</v>
      </c>
      <c r="C2677" s="121" t="s">
        <v>1625</v>
      </c>
      <c r="D2677" s="332" t="s">
        <v>57</v>
      </c>
      <c r="E2677" s="332">
        <v>265.77999999999997</v>
      </c>
      <c r="F2677" s="325">
        <v>184.69</v>
      </c>
      <c r="G2677" s="436">
        <f>ROUND(E2677*F2677,2)</f>
        <v>49086.91</v>
      </c>
    </row>
    <row r="2678" spans="2:7" ht="17.100000000000001" hidden="1" customHeight="1" outlineLevel="3">
      <c r="B2678" s="330" t="s">
        <v>3690</v>
      </c>
      <c r="C2678" s="121" t="s">
        <v>3640</v>
      </c>
      <c r="D2678" s="332" t="s">
        <v>57</v>
      </c>
      <c r="E2678" s="332">
        <v>53.08</v>
      </c>
      <c r="F2678" s="325">
        <v>215.33</v>
      </c>
      <c r="G2678" s="436">
        <f>ROUND(E2678*F2678,2)</f>
        <v>11429.72</v>
      </c>
    </row>
    <row r="2679" spans="2:7" ht="17.100000000000001" hidden="1" customHeight="1" outlineLevel="3">
      <c r="B2679" s="331" t="s">
        <v>3691</v>
      </c>
      <c r="C2679" s="324" t="s">
        <v>3692</v>
      </c>
      <c r="D2679" s="332"/>
      <c r="E2679" s="332"/>
      <c r="F2679" s="325"/>
      <c r="G2679" s="435">
        <f>+SUBTOTAL(9,G2680:G2682)</f>
        <v>234514.69</v>
      </c>
    </row>
    <row r="2680" spans="2:7" ht="17.100000000000001" hidden="1" customHeight="1" outlineLevel="3">
      <c r="B2680" s="330" t="s">
        <v>3693</v>
      </c>
      <c r="C2680" s="121" t="s">
        <v>3694</v>
      </c>
      <c r="D2680" s="332" t="s">
        <v>43</v>
      </c>
      <c r="E2680" s="332">
        <v>719</v>
      </c>
      <c r="F2680" s="325">
        <v>252.91</v>
      </c>
      <c r="G2680" s="436">
        <f>ROUND(E2680*F2680,2)</f>
        <v>181842.29</v>
      </c>
    </row>
    <row r="2681" spans="2:7" ht="17.100000000000001" hidden="1" customHeight="1" outlineLevel="3">
      <c r="B2681" s="330" t="s">
        <v>3695</v>
      </c>
      <c r="C2681" s="121" t="s">
        <v>3696</v>
      </c>
      <c r="D2681" s="332" t="s">
        <v>43</v>
      </c>
      <c r="E2681" s="332">
        <v>11</v>
      </c>
      <c r="F2681" s="325">
        <v>250.85</v>
      </c>
      <c r="G2681" s="436">
        <f>ROUND(E2681*F2681,2)</f>
        <v>2759.35</v>
      </c>
    </row>
    <row r="2682" spans="2:7" ht="17.100000000000001" hidden="1" customHeight="1" outlineLevel="3">
      <c r="B2682" s="330" t="s">
        <v>3697</v>
      </c>
      <c r="C2682" s="121" t="s">
        <v>3698</v>
      </c>
      <c r="D2682" s="332" t="s">
        <v>43</v>
      </c>
      <c r="E2682" s="332">
        <v>55</v>
      </c>
      <c r="F2682" s="325">
        <v>907.51</v>
      </c>
      <c r="G2682" s="436">
        <f>ROUND(E2682*F2682,2)</f>
        <v>49913.05</v>
      </c>
    </row>
    <row r="2683" spans="2:7" ht="17.100000000000001" hidden="1" customHeight="1" outlineLevel="3">
      <c r="B2683" s="331" t="s">
        <v>3699</v>
      </c>
      <c r="C2683" s="324" t="s">
        <v>3700</v>
      </c>
      <c r="D2683" s="332"/>
      <c r="E2683" s="332"/>
      <c r="F2683" s="325"/>
      <c r="G2683" s="435">
        <f>+SUBTOTAL(9,G2684:G2692)</f>
        <v>274808.48</v>
      </c>
    </row>
    <row r="2684" spans="2:7" ht="30" hidden="1" outlineLevel="3">
      <c r="B2684" s="330" t="s">
        <v>3701</v>
      </c>
      <c r="C2684" s="121" t="s">
        <v>3702</v>
      </c>
      <c r="D2684" s="332" t="s">
        <v>43</v>
      </c>
      <c r="E2684" s="332">
        <v>785</v>
      </c>
      <c r="F2684" s="325">
        <v>166.85</v>
      </c>
      <c r="G2684" s="436">
        <f t="shared" ref="G2684:G2692" si="76">ROUND(E2684*F2684,2)</f>
        <v>130977.25</v>
      </c>
    </row>
    <row r="2685" spans="2:7" ht="30" hidden="1" outlineLevel="3">
      <c r="B2685" s="330" t="s">
        <v>3703</v>
      </c>
      <c r="C2685" s="121" t="s">
        <v>3704</v>
      </c>
      <c r="D2685" s="332" t="s">
        <v>43</v>
      </c>
      <c r="E2685" s="332">
        <v>505</v>
      </c>
      <c r="F2685" s="325">
        <v>39.630000000000003</v>
      </c>
      <c r="G2685" s="436">
        <f t="shared" si="76"/>
        <v>20013.150000000001</v>
      </c>
    </row>
    <row r="2686" spans="2:7" ht="30" hidden="1" outlineLevel="3">
      <c r="B2686" s="330" t="s">
        <v>3705</v>
      </c>
      <c r="C2686" s="121" t="s">
        <v>3706</v>
      </c>
      <c r="D2686" s="332" t="s">
        <v>43</v>
      </c>
      <c r="E2686" s="332">
        <v>277</v>
      </c>
      <c r="F2686" s="325">
        <v>209.94</v>
      </c>
      <c r="G2686" s="436">
        <f t="shared" si="76"/>
        <v>58153.38</v>
      </c>
    </row>
    <row r="2687" spans="2:7" ht="30" hidden="1" outlineLevel="3">
      <c r="B2687" s="330" t="s">
        <v>3707</v>
      </c>
      <c r="C2687" s="121" t="s">
        <v>3708</v>
      </c>
      <c r="D2687" s="332" t="s">
        <v>43</v>
      </c>
      <c r="E2687" s="332">
        <v>3</v>
      </c>
      <c r="F2687" s="325">
        <v>218.69</v>
      </c>
      <c r="G2687" s="436">
        <f t="shared" si="76"/>
        <v>656.07</v>
      </c>
    </row>
    <row r="2688" spans="2:7" hidden="1" outlineLevel="3">
      <c r="B2688" s="330" t="s">
        <v>3709</v>
      </c>
      <c r="C2688" s="121" t="s">
        <v>3710</v>
      </c>
      <c r="D2688" s="332" t="s">
        <v>43</v>
      </c>
      <c r="E2688" s="332">
        <v>785</v>
      </c>
      <c r="F2688" s="325">
        <v>36.1</v>
      </c>
      <c r="G2688" s="436">
        <f t="shared" si="76"/>
        <v>28338.5</v>
      </c>
    </row>
    <row r="2689" spans="2:7" hidden="1" outlineLevel="3">
      <c r="B2689" s="330" t="s">
        <v>3711</v>
      </c>
      <c r="C2689" s="121" t="s">
        <v>3712</v>
      </c>
      <c r="D2689" s="332" t="s">
        <v>43</v>
      </c>
      <c r="E2689" s="332">
        <v>785</v>
      </c>
      <c r="F2689" s="325">
        <v>7.1</v>
      </c>
      <c r="G2689" s="436">
        <f t="shared" si="76"/>
        <v>5573.5</v>
      </c>
    </row>
    <row r="2690" spans="2:7" hidden="1" outlineLevel="3">
      <c r="B2690" s="330" t="s">
        <v>3713</v>
      </c>
      <c r="C2690" s="121" t="s">
        <v>3714</v>
      </c>
      <c r="D2690" s="332" t="s">
        <v>43</v>
      </c>
      <c r="E2690" s="332">
        <v>782</v>
      </c>
      <c r="F2690" s="325">
        <v>33</v>
      </c>
      <c r="G2690" s="436">
        <f t="shared" si="76"/>
        <v>25806</v>
      </c>
    </row>
    <row r="2691" spans="2:7" hidden="1" outlineLevel="3">
      <c r="B2691" s="330" t="s">
        <v>3715</v>
      </c>
      <c r="C2691" s="121" t="s">
        <v>3716</v>
      </c>
      <c r="D2691" s="332" t="s">
        <v>43</v>
      </c>
      <c r="E2691" s="332">
        <v>3</v>
      </c>
      <c r="F2691" s="325">
        <v>39.159999999999997</v>
      </c>
      <c r="G2691" s="436">
        <f t="shared" si="76"/>
        <v>117.48</v>
      </c>
    </row>
    <row r="2692" spans="2:7" hidden="1" outlineLevel="3">
      <c r="B2692" s="330" t="s">
        <v>3717</v>
      </c>
      <c r="C2692" s="121" t="s">
        <v>3718</v>
      </c>
      <c r="D2692" s="332" t="s">
        <v>43</v>
      </c>
      <c r="E2692" s="332">
        <v>785</v>
      </c>
      <c r="F2692" s="325">
        <v>6.59</v>
      </c>
      <c r="G2692" s="436">
        <f t="shared" si="76"/>
        <v>5173.1499999999996</v>
      </c>
    </row>
    <row r="2693" spans="2:7" hidden="1" outlineLevel="3">
      <c r="B2693" s="331" t="s">
        <v>3719</v>
      </c>
      <c r="C2693" s="324" t="s">
        <v>3720</v>
      </c>
      <c r="D2693" s="332"/>
      <c r="E2693" s="332"/>
      <c r="F2693" s="325"/>
      <c r="G2693" s="435">
        <f>+SUBTOTAL(9,G2694:G2696)</f>
        <v>9946.130000000001</v>
      </c>
    </row>
    <row r="2694" spans="2:7" ht="30" hidden="1" outlineLevel="3">
      <c r="B2694" s="330" t="s">
        <v>3721</v>
      </c>
      <c r="C2694" s="121" t="s">
        <v>3722</v>
      </c>
      <c r="D2694" s="332" t="s">
        <v>43</v>
      </c>
      <c r="E2694" s="332">
        <v>785</v>
      </c>
      <c r="F2694" s="325">
        <v>8.1</v>
      </c>
      <c r="G2694" s="436">
        <f>ROUND(E2694*F2694,2)</f>
        <v>6358.5</v>
      </c>
    </row>
    <row r="2695" spans="2:7" ht="30" hidden="1" outlineLevel="3">
      <c r="B2695" s="330" t="s">
        <v>3723</v>
      </c>
      <c r="C2695" s="121" t="s">
        <v>3724</v>
      </c>
      <c r="D2695" s="332" t="s">
        <v>43</v>
      </c>
      <c r="E2695" s="332">
        <v>79</v>
      </c>
      <c r="F2695" s="325">
        <v>38.44</v>
      </c>
      <c r="G2695" s="436">
        <f>ROUND(E2695*F2695,2)</f>
        <v>3036.76</v>
      </c>
    </row>
    <row r="2696" spans="2:7" ht="30" hidden="1" outlineLevel="3">
      <c r="B2696" s="330" t="s">
        <v>3723</v>
      </c>
      <c r="C2696" s="121" t="s">
        <v>3725</v>
      </c>
      <c r="D2696" s="332" t="s">
        <v>1923</v>
      </c>
      <c r="E2696" s="332">
        <v>1</v>
      </c>
      <c r="F2696" s="325">
        <v>550.87</v>
      </c>
      <c r="G2696" s="436">
        <f>ROUND(E2696*F2696,2)</f>
        <v>550.87</v>
      </c>
    </row>
    <row r="2697" spans="2:7" outlineLevel="2" collapsed="1">
      <c r="B2697" s="331" t="s">
        <v>3726</v>
      </c>
      <c r="C2697" s="324" t="s">
        <v>3482</v>
      </c>
      <c r="D2697" s="332"/>
      <c r="E2697" s="332"/>
      <c r="F2697" s="325"/>
      <c r="G2697" s="435">
        <f>+SUBTOTAL(9,G2698:G2721)</f>
        <v>1331861.5300000003</v>
      </c>
    </row>
    <row r="2698" spans="2:7" hidden="1" outlineLevel="3">
      <c r="B2698" s="331" t="s">
        <v>3727</v>
      </c>
      <c r="C2698" s="324" t="s">
        <v>3686</v>
      </c>
      <c r="D2698" s="332"/>
      <c r="E2698" s="332"/>
      <c r="F2698" s="325"/>
      <c r="G2698" s="435">
        <f>+SUBTOTAL(9,G2699:G2702)</f>
        <v>200844.33000000002</v>
      </c>
    </row>
    <row r="2699" spans="2:7" hidden="1" outlineLevel="3">
      <c r="B2699" s="330" t="s">
        <v>3728</v>
      </c>
      <c r="C2699" s="121" t="s">
        <v>3688</v>
      </c>
      <c r="D2699" s="332" t="s">
        <v>57</v>
      </c>
      <c r="E2699" s="332">
        <v>51.26</v>
      </c>
      <c r="F2699" s="325">
        <v>139.62</v>
      </c>
      <c r="G2699" s="436">
        <f>ROUND(E2699*F2699,2)</f>
        <v>7156.92</v>
      </c>
    </row>
    <row r="2700" spans="2:7" hidden="1" outlineLevel="3">
      <c r="B2700" s="330" t="s">
        <v>3729</v>
      </c>
      <c r="C2700" s="121" t="s">
        <v>1625</v>
      </c>
      <c r="D2700" s="332" t="s">
        <v>57</v>
      </c>
      <c r="E2700" s="327">
        <v>1029</v>
      </c>
      <c r="F2700" s="325">
        <v>184.69</v>
      </c>
      <c r="G2700" s="436">
        <f>ROUND(E2700*F2700,2)</f>
        <v>190046.01</v>
      </c>
    </row>
    <row r="2701" spans="2:7" hidden="1" outlineLevel="3">
      <c r="B2701" s="330" t="s">
        <v>3730</v>
      </c>
      <c r="C2701" s="121" t="s">
        <v>3480</v>
      </c>
      <c r="D2701" s="332" t="s">
        <v>57</v>
      </c>
      <c r="E2701" s="332">
        <v>22.23</v>
      </c>
      <c r="F2701" s="325">
        <v>130.71</v>
      </c>
      <c r="G2701" s="436">
        <f>ROUND(E2701*F2701,2)</f>
        <v>2905.68</v>
      </c>
    </row>
    <row r="2702" spans="2:7" hidden="1" outlineLevel="3">
      <c r="B2702" s="330" t="s">
        <v>3731</v>
      </c>
      <c r="C2702" s="121" t="s">
        <v>3732</v>
      </c>
      <c r="D2702" s="332" t="s">
        <v>57</v>
      </c>
      <c r="E2702" s="332">
        <v>22.82</v>
      </c>
      <c r="F2702" s="325">
        <v>32.24</v>
      </c>
      <c r="G2702" s="436">
        <f>ROUND(E2702*F2702,2)</f>
        <v>735.72</v>
      </c>
    </row>
    <row r="2703" spans="2:7" hidden="1" outlineLevel="3">
      <c r="B2703" s="331" t="s">
        <v>3733</v>
      </c>
      <c r="C2703" s="324" t="s">
        <v>3692</v>
      </c>
      <c r="D2703" s="332"/>
      <c r="E2703" s="332"/>
      <c r="F2703" s="325"/>
      <c r="G2703" s="435">
        <f>+SUBTOTAL(9,G2704:G2706)</f>
        <v>518500.05</v>
      </c>
    </row>
    <row r="2704" spans="2:7" hidden="1" outlineLevel="3">
      <c r="B2704" s="330" t="s">
        <v>3734</v>
      </c>
      <c r="C2704" s="121" t="s">
        <v>3735</v>
      </c>
      <c r="D2704" s="332" t="s">
        <v>43</v>
      </c>
      <c r="E2704" s="327">
        <v>1489</v>
      </c>
      <c r="F2704" s="325">
        <v>288.75</v>
      </c>
      <c r="G2704" s="436">
        <f>ROUND(E2704*F2704,2)</f>
        <v>429948.75</v>
      </c>
    </row>
    <row r="2705" spans="2:7" ht="30" hidden="1" outlineLevel="3">
      <c r="B2705" s="330" t="s">
        <v>3736</v>
      </c>
      <c r="C2705" s="121" t="s">
        <v>3737</v>
      </c>
      <c r="D2705" s="332" t="s">
        <v>43</v>
      </c>
      <c r="E2705" s="332">
        <v>134</v>
      </c>
      <c r="F2705" s="325">
        <v>333.18</v>
      </c>
      <c r="G2705" s="436">
        <f>ROUND(E2705*F2705,2)</f>
        <v>44646.12</v>
      </c>
    </row>
    <row r="2706" spans="2:7" hidden="1" outlineLevel="3">
      <c r="B2706" s="330" t="s">
        <v>3738</v>
      </c>
      <c r="C2706" s="121" t="s">
        <v>3739</v>
      </c>
      <c r="D2706" s="332" t="s">
        <v>43</v>
      </c>
      <c r="E2706" s="332">
        <v>66</v>
      </c>
      <c r="F2706" s="325">
        <v>665.23</v>
      </c>
      <c r="G2706" s="436">
        <f>ROUND(E2706*F2706,2)</f>
        <v>43905.18</v>
      </c>
    </row>
    <row r="2707" spans="2:7" hidden="1" outlineLevel="3">
      <c r="B2707" s="331" t="s">
        <v>3740</v>
      </c>
      <c r="C2707" s="324" t="s">
        <v>3700</v>
      </c>
      <c r="D2707" s="332"/>
      <c r="E2707" s="332"/>
      <c r="F2707" s="325"/>
      <c r="G2707" s="435">
        <f>+SUBTOTAL(9,G2708:G2717)</f>
        <v>591789.02000000014</v>
      </c>
    </row>
    <row r="2708" spans="2:7" ht="30" hidden="1" outlineLevel="3">
      <c r="B2708" s="330" t="s">
        <v>3741</v>
      </c>
      <c r="C2708" s="121" t="s">
        <v>3702</v>
      </c>
      <c r="D2708" s="332" t="s">
        <v>43</v>
      </c>
      <c r="E2708" s="327">
        <v>1689</v>
      </c>
      <c r="F2708" s="325">
        <v>166.85</v>
      </c>
      <c r="G2708" s="436">
        <f t="shared" ref="G2708:G2717" si="77">ROUND(E2708*F2708,2)</f>
        <v>281809.65000000002</v>
      </c>
    </row>
    <row r="2709" spans="2:7" ht="30" hidden="1" outlineLevel="3">
      <c r="B2709" s="330" t="s">
        <v>3742</v>
      </c>
      <c r="C2709" s="121" t="s">
        <v>3704</v>
      </c>
      <c r="D2709" s="332" t="s">
        <v>43</v>
      </c>
      <c r="E2709" s="327">
        <v>1102</v>
      </c>
      <c r="F2709" s="325">
        <v>39.630000000000003</v>
      </c>
      <c r="G2709" s="436">
        <f t="shared" si="77"/>
        <v>43672.26</v>
      </c>
    </row>
    <row r="2710" spans="2:7" ht="30" hidden="1" outlineLevel="3">
      <c r="B2710" s="330" t="s">
        <v>3743</v>
      </c>
      <c r="C2710" s="121" t="s">
        <v>3706</v>
      </c>
      <c r="D2710" s="332" t="s">
        <v>43</v>
      </c>
      <c r="E2710" s="332">
        <v>455</v>
      </c>
      <c r="F2710" s="325">
        <v>209.94</v>
      </c>
      <c r="G2710" s="436">
        <f t="shared" si="77"/>
        <v>95522.7</v>
      </c>
    </row>
    <row r="2711" spans="2:7" ht="30" hidden="1" outlineLevel="3">
      <c r="B2711" s="330" t="s">
        <v>3744</v>
      </c>
      <c r="C2711" s="121" t="s">
        <v>3708</v>
      </c>
      <c r="D2711" s="332" t="s">
        <v>43</v>
      </c>
      <c r="E2711" s="332">
        <v>122</v>
      </c>
      <c r="F2711" s="325">
        <v>218.69</v>
      </c>
      <c r="G2711" s="436">
        <f t="shared" si="77"/>
        <v>26680.18</v>
      </c>
    </row>
    <row r="2712" spans="2:7" ht="30" hidden="1" outlineLevel="3">
      <c r="B2712" s="330" t="s">
        <v>3745</v>
      </c>
      <c r="C2712" s="121" t="s">
        <v>3746</v>
      </c>
      <c r="D2712" s="332" t="s">
        <v>43</v>
      </c>
      <c r="E2712" s="332">
        <v>10</v>
      </c>
      <c r="F2712" s="325">
        <v>345.88</v>
      </c>
      <c r="G2712" s="436">
        <f t="shared" si="77"/>
        <v>3458.8</v>
      </c>
    </row>
    <row r="2713" spans="2:7" hidden="1" outlineLevel="3">
      <c r="B2713" s="330" t="s">
        <v>3747</v>
      </c>
      <c r="C2713" s="121" t="s">
        <v>3710</v>
      </c>
      <c r="D2713" s="332" t="s">
        <v>43</v>
      </c>
      <c r="E2713" s="327">
        <v>1689</v>
      </c>
      <c r="F2713" s="325">
        <v>36.1</v>
      </c>
      <c r="G2713" s="436">
        <f t="shared" si="77"/>
        <v>60972.9</v>
      </c>
    </row>
    <row r="2714" spans="2:7" hidden="1" outlineLevel="3">
      <c r="B2714" s="330" t="s">
        <v>3748</v>
      </c>
      <c r="C2714" s="121" t="s">
        <v>3749</v>
      </c>
      <c r="D2714" s="332" t="s">
        <v>43</v>
      </c>
      <c r="E2714" s="327">
        <v>1689</v>
      </c>
      <c r="F2714" s="325">
        <v>7.1</v>
      </c>
      <c r="G2714" s="436">
        <f t="shared" si="77"/>
        <v>11991.9</v>
      </c>
    </row>
    <row r="2715" spans="2:7" hidden="1" outlineLevel="3">
      <c r="B2715" s="330" t="s">
        <v>3750</v>
      </c>
      <c r="C2715" s="121" t="s">
        <v>3714</v>
      </c>
      <c r="D2715" s="332" t="s">
        <v>43</v>
      </c>
      <c r="E2715" s="327">
        <v>1557</v>
      </c>
      <c r="F2715" s="325">
        <v>33</v>
      </c>
      <c r="G2715" s="436">
        <f t="shared" si="77"/>
        <v>51381</v>
      </c>
    </row>
    <row r="2716" spans="2:7" hidden="1" outlineLevel="3">
      <c r="B2716" s="330" t="s">
        <v>3751</v>
      </c>
      <c r="C2716" s="121" t="s">
        <v>3716</v>
      </c>
      <c r="D2716" s="332" t="s">
        <v>43</v>
      </c>
      <c r="E2716" s="332">
        <v>132</v>
      </c>
      <c r="F2716" s="325">
        <v>39.159999999999997</v>
      </c>
      <c r="G2716" s="436">
        <f t="shared" si="77"/>
        <v>5169.12</v>
      </c>
    </row>
    <row r="2717" spans="2:7" hidden="1" outlineLevel="3">
      <c r="B2717" s="330" t="s">
        <v>3752</v>
      </c>
      <c r="C2717" s="121" t="s">
        <v>3718</v>
      </c>
      <c r="D2717" s="332" t="s">
        <v>43</v>
      </c>
      <c r="E2717" s="327">
        <v>1689</v>
      </c>
      <c r="F2717" s="325">
        <v>6.59</v>
      </c>
      <c r="G2717" s="436">
        <f t="shared" si="77"/>
        <v>11130.51</v>
      </c>
    </row>
    <row r="2718" spans="2:7" hidden="1" outlineLevel="3">
      <c r="B2718" s="331" t="s">
        <v>3753</v>
      </c>
      <c r="C2718" s="324" t="s">
        <v>3720</v>
      </c>
      <c r="D2718" s="332"/>
      <c r="E2718" s="332"/>
      <c r="F2718" s="325"/>
      <c r="G2718" s="435">
        <f>+SUBTOTAL(9,G2719:G2721)</f>
        <v>20728.129999999997</v>
      </c>
    </row>
    <row r="2719" spans="2:7" ht="30" hidden="1" outlineLevel="3">
      <c r="B2719" s="330" t="s">
        <v>3754</v>
      </c>
      <c r="C2719" s="121" t="s">
        <v>3722</v>
      </c>
      <c r="D2719" s="332" t="s">
        <v>43</v>
      </c>
      <c r="E2719" s="327">
        <v>1689</v>
      </c>
      <c r="F2719" s="325">
        <v>8.1</v>
      </c>
      <c r="G2719" s="436">
        <f>ROUND(E2719*F2719,2)</f>
        <v>13680.9</v>
      </c>
    </row>
    <row r="2720" spans="2:7" ht="30" hidden="1" outlineLevel="3">
      <c r="B2720" s="330" t="s">
        <v>3755</v>
      </c>
      <c r="C2720" s="121" t="s">
        <v>3724</v>
      </c>
      <c r="D2720" s="332" t="s">
        <v>43</v>
      </c>
      <c r="E2720" s="332">
        <v>169</v>
      </c>
      <c r="F2720" s="325">
        <v>38.44</v>
      </c>
      <c r="G2720" s="436">
        <f>ROUND(E2720*F2720,2)</f>
        <v>6496.36</v>
      </c>
    </row>
    <row r="2721" spans="2:7" ht="30" hidden="1" outlineLevel="3">
      <c r="B2721" s="330" t="s">
        <v>3756</v>
      </c>
      <c r="C2721" s="121" t="s">
        <v>3725</v>
      </c>
      <c r="D2721" s="332" t="s">
        <v>1923</v>
      </c>
      <c r="E2721" s="332">
        <v>1</v>
      </c>
      <c r="F2721" s="325">
        <v>550.87</v>
      </c>
      <c r="G2721" s="436">
        <f>ROUND(E2721*F2721,2)</f>
        <v>550.87</v>
      </c>
    </row>
    <row r="2722" spans="2:7" outlineLevel="2" collapsed="1">
      <c r="B2722" s="331" t="s">
        <v>3757</v>
      </c>
      <c r="C2722" s="324" t="s">
        <v>3642</v>
      </c>
      <c r="D2722" s="332"/>
      <c r="E2722" s="332"/>
      <c r="F2722" s="325"/>
      <c r="G2722" s="435">
        <f>+SUBTOTAL(9,G2723:G2739)</f>
        <v>93082.209999999977</v>
      </c>
    </row>
    <row r="2723" spans="2:7" hidden="1" outlineLevel="3">
      <c r="B2723" s="331" t="s">
        <v>3758</v>
      </c>
      <c r="C2723" s="324" t="s">
        <v>3686</v>
      </c>
      <c r="D2723" s="332"/>
      <c r="E2723" s="332"/>
      <c r="F2723" s="325"/>
      <c r="G2723" s="435">
        <f>+SUBTOTAL(9,G2724:G2725)</f>
        <v>30799.820000000003</v>
      </c>
    </row>
    <row r="2724" spans="2:7" hidden="1" outlineLevel="3">
      <c r="B2724" s="330" t="s">
        <v>3759</v>
      </c>
      <c r="C2724" s="121" t="s">
        <v>1625</v>
      </c>
      <c r="D2724" s="332" t="s">
        <v>57</v>
      </c>
      <c r="E2724" s="332">
        <v>156.51</v>
      </c>
      <c r="F2724" s="325">
        <v>184.69</v>
      </c>
      <c r="G2724" s="436">
        <f>ROUND(E2724*F2724,2)</f>
        <v>28905.83</v>
      </c>
    </row>
    <row r="2725" spans="2:7" hidden="1" outlineLevel="3">
      <c r="B2725" s="330" t="s">
        <v>3760</v>
      </c>
      <c r="C2725" s="121" t="s">
        <v>3480</v>
      </c>
      <c r="D2725" s="332" t="s">
        <v>57</v>
      </c>
      <c r="E2725" s="332">
        <v>14.49</v>
      </c>
      <c r="F2725" s="325">
        <v>130.71</v>
      </c>
      <c r="G2725" s="436">
        <f>ROUND(E2725*F2725,2)</f>
        <v>1893.99</v>
      </c>
    </row>
    <row r="2726" spans="2:7" hidden="1" outlineLevel="3">
      <c r="B2726" s="331" t="s">
        <v>3761</v>
      </c>
      <c r="C2726" s="324" t="s">
        <v>3692</v>
      </c>
      <c r="D2726" s="332"/>
      <c r="E2726" s="332"/>
      <c r="F2726" s="325"/>
      <c r="G2726" s="435">
        <f>+SUBTOTAL(9,G2727)</f>
        <v>20150.759999999998</v>
      </c>
    </row>
    <row r="2727" spans="2:7" hidden="1" outlineLevel="3">
      <c r="B2727" s="330" t="s">
        <v>3762</v>
      </c>
      <c r="C2727" s="121" t="s">
        <v>3763</v>
      </c>
      <c r="D2727" s="332" t="s">
        <v>43</v>
      </c>
      <c r="E2727" s="332">
        <v>69</v>
      </c>
      <c r="F2727" s="325">
        <v>292.04000000000002</v>
      </c>
      <c r="G2727" s="436">
        <f>ROUND(E2727*F2727,2)</f>
        <v>20150.759999999998</v>
      </c>
    </row>
    <row r="2728" spans="2:7" hidden="1" outlineLevel="3">
      <c r="B2728" s="331" t="s">
        <v>3764</v>
      </c>
      <c r="C2728" s="324" t="s">
        <v>3700</v>
      </c>
      <c r="D2728" s="332"/>
      <c r="E2728" s="332"/>
      <c r="F2728" s="325"/>
      <c r="G2728" s="435">
        <f>+SUBTOTAL(9,G2729:G2735)</f>
        <v>40752.78</v>
      </c>
    </row>
    <row r="2729" spans="2:7" ht="30" hidden="1" outlineLevel="3">
      <c r="B2729" s="330" t="s">
        <v>3765</v>
      </c>
      <c r="C2729" s="121" t="s">
        <v>3702</v>
      </c>
      <c r="D2729" s="332" t="s">
        <v>43</v>
      </c>
      <c r="E2729" s="332">
        <v>69</v>
      </c>
      <c r="F2729" s="325">
        <v>166.85</v>
      </c>
      <c r="G2729" s="436">
        <f t="shared" ref="G2729:G2735" si="78">ROUND(E2729*F2729,2)</f>
        <v>11512.65</v>
      </c>
    </row>
    <row r="2730" spans="2:7" ht="30" hidden="1" outlineLevel="3">
      <c r="B2730" s="330" t="s">
        <v>3766</v>
      </c>
      <c r="C2730" s="121" t="s">
        <v>3708</v>
      </c>
      <c r="D2730" s="332" t="s">
        <v>43</v>
      </c>
      <c r="E2730" s="332">
        <v>6</v>
      </c>
      <c r="F2730" s="325">
        <v>218.69</v>
      </c>
      <c r="G2730" s="436">
        <f t="shared" si="78"/>
        <v>1312.14</v>
      </c>
    </row>
    <row r="2731" spans="2:7" ht="30" hidden="1" outlineLevel="3">
      <c r="B2731" s="330" t="s">
        <v>3767</v>
      </c>
      <c r="C2731" s="121" t="s">
        <v>3746</v>
      </c>
      <c r="D2731" s="332" t="s">
        <v>43</v>
      </c>
      <c r="E2731" s="332">
        <v>63</v>
      </c>
      <c r="F2731" s="325">
        <v>345.88</v>
      </c>
      <c r="G2731" s="436">
        <f t="shared" si="78"/>
        <v>21790.44</v>
      </c>
    </row>
    <row r="2732" spans="2:7" hidden="1" outlineLevel="3">
      <c r="B2732" s="330" t="s">
        <v>3768</v>
      </c>
      <c r="C2732" s="121" t="s">
        <v>3710</v>
      </c>
      <c r="D2732" s="332" t="s">
        <v>43</v>
      </c>
      <c r="E2732" s="332">
        <v>69</v>
      </c>
      <c r="F2732" s="325">
        <v>36.1</v>
      </c>
      <c r="G2732" s="436">
        <f t="shared" si="78"/>
        <v>2490.9</v>
      </c>
    </row>
    <row r="2733" spans="2:7" hidden="1" outlineLevel="3">
      <c r="B2733" s="330" t="s">
        <v>3769</v>
      </c>
      <c r="C2733" s="121" t="s">
        <v>3712</v>
      </c>
      <c r="D2733" s="332" t="s">
        <v>43</v>
      </c>
      <c r="E2733" s="332">
        <v>69</v>
      </c>
      <c r="F2733" s="325">
        <v>7.1</v>
      </c>
      <c r="G2733" s="436">
        <f t="shared" si="78"/>
        <v>489.9</v>
      </c>
    </row>
    <row r="2734" spans="2:7" hidden="1" outlineLevel="3">
      <c r="B2734" s="330" t="s">
        <v>3770</v>
      </c>
      <c r="C2734" s="121" t="s">
        <v>3716</v>
      </c>
      <c r="D2734" s="332" t="s">
        <v>43</v>
      </c>
      <c r="E2734" s="332">
        <v>69</v>
      </c>
      <c r="F2734" s="325">
        <v>39.159999999999997</v>
      </c>
      <c r="G2734" s="436">
        <f t="shared" si="78"/>
        <v>2702.04</v>
      </c>
    </row>
    <row r="2735" spans="2:7" hidden="1" outlineLevel="3">
      <c r="B2735" s="330" t="s">
        <v>3771</v>
      </c>
      <c r="C2735" s="121" t="s">
        <v>3718</v>
      </c>
      <c r="D2735" s="332" t="s">
        <v>43</v>
      </c>
      <c r="E2735" s="332">
        <v>69</v>
      </c>
      <c r="F2735" s="325">
        <v>6.59</v>
      </c>
      <c r="G2735" s="436">
        <f t="shared" si="78"/>
        <v>454.71</v>
      </c>
    </row>
    <row r="2736" spans="2:7" hidden="1" outlineLevel="3">
      <c r="B2736" s="331" t="s">
        <v>3772</v>
      </c>
      <c r="C2736" s="324" t="s">
        <v>3720</v>
      </c>
      <c r="D2736" s="332"/>
      <c r="E2736" s="332"/>
      <c r="F2736" s="325"/>
      <c r="G2736" s="435">
        <f>+SUBTOTAL(9,G2737:G2739)</f>
        <v>1378.85</v>
      </c>
    </row>
    <row r="2737" spans="2:8" ht="30" hidden="1" outlineLevel="3">
      <c r="B2737" s="330" t="s">
        <v>3773</v>
      </c>
      <c r="C2737" s="121" t="s">
        <v>3722</v>
      </c>
      <c r="D2737" s="332" t="s">
        <v>43</v>
      </c>
      <c r="E2737" s="332">
        <v>69</v>
      </c>
      <c r="F2737" s="325">
        <v>8.1</v>
      </c>
      <c r="G2737" s="436">
        <f>ROUND(E2737*F2737,2)</f>
        <v>558.9</v>
      </c>
    </row>
    <row r="2738" spans="2:8" ht="30" hidden="1" outlineLevel="3">
      <c r="B2738" s="330" t="s">
        <v>3774</v>
      </c>
      <c r="C2738" s="121" t="s">
        <v>3724</v>
      </c>
      <c r="D2738" s="332" t="s">
        <v>43</v>
      </c>
      <c r="E2738" s="332">
        <v>7</v>
      </c>
      <c r="F2738" s="325">
        <v>38.44</v>
      </c>
      <c r="G2738" s="436">
        <f>ROUND(E2738*F2738,2)</f>
        <v>269.08</v>
      </c>
    </row>
    <row r="2739" spans="2:8" ht="30" hidden="1" outlineLevel="3">
      <c r="B2739" s="330" t="s">
        <v>3775</v>
      </c>
      <c r="C2739" s="121" t="s">
        <v>3725</v>
      </c>
      <c r="D2739" s="332" t="s">
        <v>1923</v>
      </c>
      <c r="E2739" s="332">
        <v>1</v>
      </c>
      <c r="F2739" s="325">
        <v>550.87</v>
      </c>
      <c r="G2739" s="436">
        <f>ROUND(E2739*F2739,2)</f>
        <v>550.87</v>
      </c>
    </row>
    <row r="2740" spans="2:8" ht="15.75">
      <c r="B2740" s="501" t="s">
        <v>3776</v>
      </c>
      <c r="C2740" s="501"/>
      <c r="D2740" s="501"/>
      <c r="E2740" s="501"/>
      <c r="F2740" s="501"/>
      <c r="G2740" s="437">
        <f>+G8+G1363+G2196</f>
        <v>38233786.520000011</v>
      </c>
      <c r="H2740" s="120"/>
    </row>
    <row r="2741" spans="2:8" ht="18.95" customHeight="1">
      <c r="B2741" s="505" t="s">
        <v>12</v>
      </c>
      <c r="C2741" s="328" t="s">
        <v>13</v>
      </c>
      <c r="D2741" s="329"/>
      <c r="E2741" s="329"/>
      <c r="F2741" s="329"/>
      <c r="G2741" s="436">
        <v>210324.88</v>
      </c>
    </row>
    <row r="2742" spans="2:8" ht="18.95" customHeight="1">
      <c r="B2742" s="505"/>
      <c r="C2742" s="328" t="s">
        <v>14</v>
      </c>
      <c r="D2742" s="329"/>
      <c r="E2742" s="329"/>
      <c r="F2742" s="329"/>
      <c r="G2742" s="436">
        <v>494034.67</v>
      </c>
    </row>
    <row r="2743" spans="2:8" ht="18.95" customHeight="1">
      <c r="B2743" s="505"/>
      <c r="C2743" s="328" t="s">
        <v>15</v>
      </c>
      <c r="D2743" s="329"/>
      <c r="E2743" s="329"/>
      <c r="F2743" s="329"/>
      <c r="G2743" s="436">
        <v>343326.4</v>
      </c>
    </row>
    <row r="2744" spans="2:8" ht="18.95" customHeight="1">
      <c r="B2744" s="505"/>
      <c r="C2744" s="328" t="s">
        <v>17</v>
      </c>
      <c r="D2744" s="329"/>
      <c r="E2744" s="329"/>
      <c r="F2744" s="329"/>
      <c r="G2744" s="436">
        <v>650114.99</v>
      </c>
    </row>
    <row r="2745" spans="2:8" ht="18.95" customHeight="1">
      <c r="B2745" s="505"/>
      <c r="C2745" s="328" t="s">
        <v>18</v>
      </c>
      <c r="D2745" s="329"/>
      <c r="E2745" s="329"/>
      <c r="F2745" s="329"/>
      <c r="G2745" s="436">
        <v>10593.52</v>
      </c>
    </row>
    <row r="2746" spans="2:8" ht="18.95" customHeight="1">
      <c r="B2746" s="498" t="s">
        <v>3777</v>
      </c>
      <c r="C2746" s="499"/>
      <c r="D2746" s="499"/>
      <c r="E2746" s="500"/>
      <c r="F2746" s="326"/>
      <c r="G2746" s="438">
        <f>+SUM(G2740:G2745)</f>
        <v>39942180.980000019</v>
      </c>
    </row>
    <row r="2747" spans="2:8" ht="18.95" customHeight="1">
      <c r="B2747" s="498" t="s">
        <v>20</v>
      </c>
      <c r="C2747" s="499"/>
      <c r="D2747" s="499"/>
      <c r="E2747" s="500"/>
      <c r="F2747" s="326">
        <v>0.223</v>
      </c>
      <c r="G2747" s="436">
        <f>+F2747*G2746</f>
        <v>8907106.3585400041</v>
      </c>
    </row>
    <row r="2748" spans="2:8" ht="18.95" customHeight="1">
      <c r="B2748" s="498" t="s">
        <v>3778</v>
      </c>
      <c r="C2748" s="499"/>
      <c r="D2748" s="499"/>
      <c r="E2748" s="500"/>
      <c r="F2748" s="326">
        <v>0.03</v>
      </c>
      <c r="G2748" s="436">
        <f>+F2748*G2746</f>
        <v>1198265.4294000005</v>
      </c>
    </row>
    <row r="2749" spans="2:8" ht="18.95" customHeight="1">
      <c r="B2749" s="498" t="s">
        <v>21</v>
      </c>
      <c r="C2749" s="499"/>
      <c r="D2749" s="499"/>
      <c r="E2749" s="500"/>
      <c r="F2749" s="326">
        <v>0.08</v>
      </c>
      <c r="G2749" s="436">
        <f>+F2749*G2746</f>
        <v>3195374.4784000018</v>
      </c>
    </row>
    <row r="2750" spans="2:8" ht="18.95" customHeight="1">
      <c r="B2750" s="498" t="s">
        <v>22</v>
      </c>
      <c r="C2750" s="499"/>
      <c r="D2750" s="499"/>
      <c r="E2750" s="500"/>
      <c r="F2750" s="326"/>
      <c r="G2750" s="438">
        <f>+G2746+G2747+G2749+G2748</f>
        <v>53242927.246340021</v>
      </c>
    </row>
    <row r="2751" spans="2:8" ht="18.95" customHeight="1">
      <c r="B2751" s="498" t="s">
        <v>23</v>
      </c>
      <c r="C2751" s="499"/>
      <c r="D2751" s="499"/>
      <c r="E2751" s="500"/>
      <c r="F2751" s="326">
        <v>0.18</v>
      </c>
      <c r="G2751" s="436">
        <f>+F2751*G2750+0.005</f>
        <v>9583726.9093412049</v>
      </c>
    </row>
    <row r="2752" spans="2:8" ht="18.95" customHeight="1">
      <c r="B2752" s="498" t="s">
        <v>3779</v>
      </c>
      <c r="C2752" s="499"/>
      <c r="D2752" s="499"/>
      <c r="E2752" s="500"/>
      <c r="F2752" s="326"/>
      <c r="G2752" s="438">
        <f>+G2751+G2750</f>
        <v>62826654.155681223</v>
      </c>
    </row>
    <row r="2753" spans="2:7">
      <c r="C2753" s="321"/>
      <c r="D2753" s="321"/>
    </row>
    <row r="2754" spans="2:7" ht="18.95" hidden="1" customHeight="1">
      <c r="B2754" s="498" t="s">
        <v>3780</v>
      </c>
      <c r="C2754" s="499"/>
      <c r="D2754" s="499"/>
      <c r="E2754" s="500"/>
      <c r="F2754" s="326">
        <v>0.03</v>
      </c>
      <c r="G2754" s="438">
        <f>+F2754*G2750</f>
        <v>1597287.8173902007</v>
      </c>
    </row>
    <row r="2755" spans="2:7" ht="18.95" hidden="1" customHeight="1">
      <c r="B2755" s="498" t="s">
        <v>3781</v>
      </c>
      <c r="C2755" s="499"/>
      <c r="D2755" s="499"/>
      <c r="E2755" s="500"/>
      <c r="F2755" s="326"/>
      <c r="G2755" s="438">
        <f>+G2754+G2750</f>
        <v>54840215.063730225</v>
      </c>
    </row>
    <row r="2756" spans="2:7" ht="18.95" hidden="1" customHeight="1">
      <c r="B2756" s="498" t="s">
        <v>3782</v>
      </c>
      <c r="C2756" s="499"/>
      <c r="D2756" s="499"/>
      <c r="E2756" s="500"/>
      <c r="F2756" s="326" t="e">
        <f>+G2756/#REF!</f>
        <v>#REF!</v>
      </c>
      <c r="G2756" s="438">
        <f>+G2749+G2754</f>
        <v>4792662.2957902029</v>
      </c>
    </row>
    <row r="2757" spans="2:7" hidden="1"/>
  </sheetData>
  <autoFilter ref="B7:G7" xr:uid="{00000000-0009-0000-0000-000001000000}"/>
  <dataConsolidate link="1"/>
  <mergeCells count="15">
    <mergeCell ref="B2748:E2748"/>
    <mergeCell ref="B2741:B2745"/>
    <mergeCell ref="B2746:E2746"/>
    <mergeCell ref="B2747:E2747"/>
    <mergeCell ref="B2740:F2740"/>
    <mergeCell ref="B6:G6"/>
    <mergeCell ref="B3:G3"/>
    <mergeCell ref="B4:G4"/>
    <mergeCell ref="B2754:E2754"/>
    <mergeCell ref="B2755:E2755"/>
    <mergeCell ref="B2756:E2756"/>
    <mergeCell ref="B2749:E2749"/>
    <mergeCell ref="B2750:E2750"/>
    <mergeCell ref="B2751:E2751"/>
    <mergeCell ref="B2752:E2752"/>
  </mergeCells>
  <printOptions horizontalCentered="1"/>
  <pageMargins left="0.59055118110236227" right="0.39370078740157483" top="0.39370078740157483" bottom="0.39370078740157483" header="0" footer="0"/>
  <pageSetup paperSize="9" scale="61" fitToHeight="45" orientation="portrait" verticalDpi="1200" r:id="rId1"/>
  <headerFooter>
    <oddFooter>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AO107"/>
  <sheetViews>
    <sheetView showGridLines="0" showZeros="0" zoomScale="70" zoomScaleNormal="70" zoomScaleSheetLayoutView="70" workbookViewId="0">
      <pane xSplit="3" ySplit="6" topLeftCell="D7" activePane="bottomRight" state="frozen"/>
      <selection activeCell="AI14" sqref="AI14"/>
      <selection pane="topRight" activeCell="AI14" sqref="AI14"/>
      <selection pane="bottomLeft" activeCell="AI14" sqref="AI14"/>
      <selection pane="bottomRight" activeCell="AI14" sqref="AI14"/>
    </sheetView>
  </sheetViews>
  <sheetFormatPr baseColWidth="10" defaultColWidth="11.42578125" defaultRowHeight="12.75" outlineLevelRow="1"/>
  <cols>
    <col min="1" max="1" width="5.42578125" style="126" hidden="1" customWidth="1"/>
    <col min="2" max="2" width="35.85546875" style="140" hidden="1" customWidth="1"/>
    <col min="3" max="3" width="4.42578125" style="126" hidden="1" customWidth="1"/>
    <col min="4" max="4" width="16.140625" style="126" hidden="1" customWidth="1"/>
    <col min="5" max="6" width="12.5703125" style="126" hidden="1" customWidth="1"/>
    <col min="7" max="7" width="16.85546875" style="126" hidden="1" customWidth="1"/>
    <col min="8" max="8" width="15.42578125" style="126" hidden="1" customWidth="1"/>
    <col min="9" max="9" width="16.42578125" style="126" hidden="1" customWidth="1"/>
    <col min="10" max="10" width="20" style="126" hidden="1" customWidth="1"/>
    <col min="11" max="11" width="2.85546875" style="126" hidden="1" customWidth="1"/>
    <col min="12" max="12" width="15.42578125" style="126" hidden="1" customWidth="1"/>
    <col min="13" max="17" width="13" style="126" hidden="1" customWidth="1"/>
    <col min="18" max="18" width="11.140625" style="126" hidden="1" customWidth="1"/>
    <col min="19" max="21" width="11.42578125" style="126" hidden="1" customWidth="1"/>
    <col min="22" max="22" width="2.5703125" style="126" hidden="1" customWidth="1"/>
    <col min="23" max="23" width="9.140625" style="126" hidden="1" customWidth="1"/>
    <col min="24" max="24" width="3.140625" style="126" customWidth="1"/>
    <col min="25" max="26" width="2.140625" style="126" customWidth="1"/>
    <col min="27" max="27" width="6.5703125" style="126" customWidth="1"/>
    <col min="28" max="28" width="23.42578125" style="126" customWidth="1"/>
    <col min="29" max="29" width="47.5703125" style="135" customWidth="1"/>
    <col min="30" max="30" width="18.140625" style="130" customWidth="1"/>
    <col min="31" max="31" width="11.42578125" style="130"/>
    <col min="32" max="32" width="9.5703125" style="126" bestFit="1" customWidth="1"/>
    <col min="33" max="33" width="11.42578125" style="126" customWidth="1"/>
    <col min="34" max="34" width="8.85546875" style="126" customWidth="1"/>
    <col min="35" max="35" width="18.140625" style="126" customWidth="1"/>
    <col min="36" max="36" width="18.42578125" style="126" customWidth="1"/>
    <col min="37" max="37" width="22.42578125" style="126" bestFit="1" customWidth="1"/>
    <col min="38" max="38" width="12.5703125" style="126" bestFit="1" customWidth="1"/>
    <col min="39" max="16384" width="11.42578125" style="126"/>
  </cols>
  <sheetData>
    <row r="1" spans="1:41">
      <c r="A1" s="123" t="str">
        <f>[1]RESUMEN!A1</f>
        <v>CONDUTO PERU</v>
      </c>
      <c r="B1" s="124"/>
      <c r="C1" s="125"/>
      <c r="D1" s="125"/>
      <c r="E1" s="125"/>
      <c r="F1" s="125"/>
      <c r="G1" s="125"/>
      <c r="H1" s="125"/>
      <c r="I1" s="125"/>
      <c r="J1" s="125"/>
      <c r="R1" s="127" t="s">
        <v>3783</v>
      </c>
      <c r="S1" s="127" t="s">
        <v>3784</v>
      </c>
      <c r="T1" s="127" t="s">
        <v>3785</v>
      </c>
      <c r="U1" s="127" t="s">
        <v>3786</v>
      </c>
      <c r="W1" s="126" t="s">
        <v>3787</v>
      </c>
      <c r="AA1" s="123">
        <f>[1]RESUMEN!Z4</f>
        <v>0</v>
      </c>
      <c r="AB1" s="124"/>
      <c r="AC1" s="128"/>
      <c r="AD1" s="129" t="s">
        <v>3788</v>
      </c>
      <c r="AF1" s="125"/>
      <c r="AG1" s="125"/>
      <c r="AH1" s="125"/>
      <c r="AI1" s="125"/>
      <c r="AJ1" s="125"/>
      <c r="AK1" s="125"/>
      <c r="AL1" s="125"/>
    </row>
    <row r="2" spans="1:41">
      <c r="A2" s="123" t="str">
        <f>[1]RESUMEN!A2</f>
        <v>AGUA POTABLE CUSCO</v>
      </c>
      <c r="B2" s="124"/>
      <c r="C2" s="125"/>
      <c r="D2" s="125"/>
      <c r="E2" s="125"/>
      <c r="F2" s="125"/>
      <c r="G2" s="125"/>
      <c r="H2" s="125"/>
      <c r="I2" s="131"/>
      <c r="J2" s="125"/>
      <c r="Q2" s="127" t="s">
        <v>3789</v>
      </c>
      <c r="R2" s="132">
        <v>45108</v>
      </c>
      <c r="S2" s="132">
        <v>45647</v>
      </c>
      <c r="T2" s="133">
        <f>+S2-R2+1</f>
        <v>540</v>
      </c>
      <c r="U2" s="134">
        <f>ROUND(T2/30,1)</f>
        <v>18</v>
      </c>
      <c r="V2" s="135" t="s">
        <v>3790</v>
      </c>
      <c r="W2" s="136">
        <f>T2-T4</f>
        <v>0</v>
      </c>
      <c r="AA2" s="123">
        <f>[1]RESUMEN!Z5</f>
        <v>0</v>
      </c>
      <c r="AB2" s="124"/>
      <c r="AC2" s="128"/>
      <c r="AD2" s="129" t="s">
        <v>3791</v>
      </c>
      <c r="AF2" s="125"/>
      <c r="AG2" s="125"/>
      <c r="AH2" s="125"/>
      <c r="AI2" s="125"/>
      <c r="AJ2" s="125"/>
      <c r="AK2" s="125"/>
      <c r="AL2" s="123" t="s">
        <v>3792</v>
      </c>
    </row>
    <row r="3" spans="1:41">
      <c r="A3" s="123"/>
      <c r="B3" s="124"/>
      <c r="C3" s="125"/>
      <c r="D3" s="125"/>
      <c r="E3" s="125"/>
      <c r="F3" s="125"/>
      <c r="G3" s="125"/>
      <c r="H3" s="125"/>
      <c r="I3" s="131"/>
      <c r="J3" s="125"/>
      <c r="Q3" s="127"/>
      <c r="R3" s="132"/>
      <c r="S3" s="132"/>
      <c r="T3" s="133"/>
      <c r="U3" s="134"/>
      <c r="V3" s="135"/>
      <c r="W3" s="136"/>
      <c r="AA3" s="123"/>
      <c r="AB3" s="124"/>
      <c r="AC3" s="128"/>
      <c r="AD3" s="129"/>
      <c r="AF3" s="125"/>
      <c r="AG3" s="125"/>
      <c r="AH3" s="125"/>
      <c r="AI3" s="125"/>
      <c r="AJ3" s="125"/>
      <c r="AK3" s="137" t="s">
        <v>3793</v>
      </c>
      <c r="AL3" s="125">
        <v>18</v>
      </c>
    </row>
    <row r="4" spans="1:41" ht="25.5">
      <c r="A4" s="123" t="s">
        <v>20</v>
      </c>
      <c r="B4" s="124"/>
      <c r="C4" s="125"/>
      <c r="D4" s="125"/>
      <c r="E4" s="125"/>
      <c r="F4" s="125"/>
      <c r="G4" s="125"/>
      <c r="H4" s="125"/>
      <c r="I4" s="125"/>
      <c r="J4" s="125"/>
      <c r="Q4" s="127" t="s">
        <v>3794</v>
      </c>
      <c r="R4" s="132">
        <v>45108</v>
      </c>
      <c r="S4" s="132">
        <v>45647</v>
      </c>
      <c r="T4" s="138">
        <f>+S4-R4+1</f>
        <v>540</v>
      </c>
      <c r="U4" s="134">
        <f>ROUND(T4/30,1)</f>
        <v>18</v>
      </c>
      <c r="V4" s="135" t="s">
        <v>3795</v>
      </c>
      <c r="AA4" s="123"/>
      <c r="AB4" s="124"/>
      <c r="AC4" s="128"/>
      <c r="AD4" s="129" t="s">
        <v>3796</v>
      </c>
      <c r="AF4" s="125"/>
      <c r="AG4" s="125"/>
      <c r="AH4" s="125"/>
      <c r="AI4" s="125"/>
      <c r="AJ4" s="125"/>
      <c r="AK4" s="137" t="s">
        <v>3797</v>
      </c>
      <c r="AL4" s="125">
        <v>14</v>
      </c>
    </row>
    <row r="5" spans="1:41">
      <c r="A5" s="139" t="str">
        <f>[1]RESUMEN!A4</f>
        <v>Rev 1</v>
      </c>
      <c r="D5" s="141"/>
      <c r="F5" s="130"/>
      <c r="G5" s="135"/>
      <c r="I5" s="142" t="s">
        <v>3798</v>
      </c>
      <c r="J5" s="143">
        <f>[1]RESUMEN!M4</f>
        <v>45169</v>
      </c>
      <c r="K5" s="144">
        <f>1+K6</f>
        <v>1</v>
      </c>
      <c r="Q5" s="127" t="s">
        <v>3799</v>
      </c>
      <c r="R5" s="132">
        <f>R4</f>
        <v>45108</v>
      </c>
      <c r="S5" s="132">
        <v>45528</v>
      </c>
      <c r="T5" s="138">
        <f>+S5-R5+1</f>
        <v>421</v>
      </c>
      <c r="U5" s="134">
        <f>ROUND(T5/30,1)</f>
        <v>14</v>
      </c>
      <c r="V5" s="135" t="s">
        <v>3800</v>
      </c>
      <c r="AA5" s="139">
        <f>[1]RESUMEN!Z7</f>
        <v>0</v>
      </c>
      <c r="AB5" s="140"/>
      <c r="AC5" s="128"/>
      <c r="AD5" s="129"/>
      <c r="AG5" s="130"/>
      <c r="AH5" s="130"/>
      <c r="AI5" s="135"/>
      <c r="AK5" s="142" t="s">
        <v>3798</v>
      </c>
      <c r="AL5" s="333">
        <v>45396</v>
      </c>
    </row>
    <row r="6" spans="1:41" ht="25.5">
      <c r="A6" s="145" t="s">
        <v>5</v>
      </c>
      <c r="B6" s="146" t="s">
        <v>3801</v>
      </c>
      <c r="C6" s="147"/>
      <c r="D6" s="145"/>
      <c r="E6" s="145" t="s">
        <v>3802</v>
      </c>
      <c r="F6" s="145" t="s">
        <v>3803</v>
      </c>
      <c r="G6" s="148" t="s">
        <v>3804</v>
      </c>
      <c r="H6" s="148" t="s">
        <v>3805</v>
      </c>
      <c r="I6" s="149">
        <f>SUM(H10:H52)</f>
        <v>1033462.6499999996</v>
      </c>
      <c r="J6" s="145"/>
      <c r="K6" s="150"/>
      <c r="L6" s="126" t="s">
        <v>3806</v>
      </c>
      <c r="Q6" s="127" t="s">
        <v>3807</v>
      </c>
      <c r="R6" s="132">
        <v>45200</v>
      </c>
      <c r="S6" s="132">
        <v>45499</v>
      </c>
      <c r="T6" s="138">
        <f>+S6-R6+1</f>
        <v>300</v>
      </c>
      <c r="U6" s="134">
        <f>ROUND(T6/30,1)</f>
        <v>10</v>
      </c>
      <c r="V6" s="135" t="s">
        <v>3808</v>
      </c>
      <c r="AA6" s="145" t="s">
        <v>5</v>
      </c>
      <c r="AB6" s="146" t="s">
        <v>3809</v>
      </c>
      <c r="AC6" s="151" t="s">
        <v>3810</v>
      </c>
      <c r="AD6" s="151" t="s">
        <v>3811</v>
      </c>
      <c r="AE6" s="147" t="s">
        <v>3812</v>
      </c>
      <c r="AF6" s="145" t="s">
        <v>3813</v>
      </c>
      <c r="AG6" s="152" t="s">
        <v>3814</v>
      </c>
      <c r="AH6" s="152" t="s">
        <v>3815</v>
      </c>
      <c r="AI6" s="148" t="s">
        <v>3816</v>
      </c>
      <c r="AJ6" s="148" t="s">
        <v>3805</v>
      </c>
      <c r="AK6" s="145"/>
      <c r="AL6" s="145"/>
    </row>
    <row r="7" spans="1:41" ht="27.95" customHeight="1">
      <c r="A7" s="154"/>
      <c r="B7" s="155"/>
      <c r="C7" s="156"/>
      <c r="D7" s="157"/>
      <c r="E7" s="158"/>
      <c r="F7" s="159"/>
      <c r="G7" s="160"/>
      <c r="H7" s="160"/>
      <c r="I7" s="157"/>
      <c r="J7" s="161"/>
      <c r="K7" s="162"/>
      <c r="L7" s="127"/>
      <c r="M7" s="132"/>
      <c r="N7" s="132"/>
      <c r="O7" s="132"/>
      <c r="P7" s="132"/>
      <c r="Q7" s="132"/>
      <c r="R7" s="138"/>
      <c r="S7" s="134"/>
      <c r="T7" s="135"/>
      <c r="AA7" s="444"/>
      <c r="AB7" s="439" t="s">
        <v>3817</v>
      </c>
      <c r="AC7" s="198" t="s">
        <v>3818</v>
      </c>
      <c r="AD7" s="163" t="s">
        <v>3819</v>
      </c>
      <c r="AE7" s="164"/>
      <c r="AF7" s="158">
        <v>49</v>
      </c>
      <c r="AG7" s="159">
        <v>16</v>
      </c>
      <c r="AH7" s="159"/>
      <c r="AI7" s="160"/>
      <c r="AJ7" s="160"/>
      <c r="AK7" s="440">
        <f>+AJ8</f>
        <v>4327725</v>
      </c>
      <c r="AL7" s="161"/>
    </row>
    <row r="8" spans="1:41" ht="21.6" customHeight="1" outlineLevel="1">
      <c r="A8" s="154"/>
      <c r="B8" s="155"/>
      <c r="C8" s="156"/>
      <c r="D8" s="157"/>
      <c r="E8" s="158"/>
      <c r="F8" s="159"/>
      <c r="G8" s="160"/>
      <c r="H8" s="160"/>
      <c r="I8" s="157"/>
      <c r="J8" s="161"/>
      <c r="K8" s="162"/>
      <c r="L8" s="127"/>
      <c r="M8" s="132"/>
      <c r="N8" s="132"/>
      <c r="O8" s="132"/>
      <c r="P8" s="132"/>
      <c r="Q8" s="132"/>
      <c r="R8" s="138"/>
      <c r="S8" s="134"/>
      <c r="T8" s="135"/>
      <c r="AA8" s="165"/>
      <c r="AB8" s="228" t="s">
        <v>3820</v>
      </c>
      <c r="AC8" s="128"/>
      <c r="AD8" s="129"/>
      <c r="AE8" s="167"/>
      <c r="AF8" s="168"/>
      <c r="AG8" s="442">
        <v>1.5</v>
      </c>
      <c r="AH8" s="169"/>
      <c r="AI8" s="170">
        <f>+'Permanencia Staff'!AA50</f>
        <v>2885150</v>
      </c>
      <c r="AJ8" s="170">
        <f>+AI8*AG8</f>
        <v>4327725</v>
      </c>
      <c r="AK8" s="441"/>
      <c r="AL8" s="172"/>
    </row>
    <row r="9" spans="1:41" outlineLevel="1">
      <c r="A9" s="154"/>
      <c r="B9" s="155"/>
      <c r="C9" s="156"/>
      <c r="D9" s="157"/>
      <c r="E9" s="158"/>
      <c r="F9" s="159"/>
      <c r="G9" s="160"/>
      <c r="H9" s="160"/>
      <c r="I9" s="157"/>
      <c r="J9" s="161"/>
      <c r="K9" s="162"/>
      <c r="L9" s="127"/>
      <c r="M9" s="132"/>
      <c r="N9" s="132"/>
      <c r="O9" s="132"/>
      <c r="P9" s="132"/>
      <c r="Q9" s="132"/>
      <c r="R9" s="138"/>
      <c r="S9" s="134"/>
      <c r="T9" s="135"/>
      <c r="AA9" s="165"/>
      <c r="AB9" s="192" t="s">
        <v>3821</v>
      </c>
      <c r="AC9" s="193"/>
      <c r="AD9" s="129"/>
      <c r="AE9" s="167"/>
      <c r="AF9" s="168"/>
      <c r="AG9" s="169"/>
      <c r="AH9" s="169"/>
      <c r="AI9" s="174"/>
      <c r="AJ9" s="174"/>
      <c r="AK9" s="171"/>
      <c r="AL9" s="172"/>
    </row>
    <row r="10" spans="1:41" outlineLevel="1">
      <c r="A10" s="154">
        <v>1</v>
      </c>
      <c r="B10" s="155" t="s">
        <v>3822</v>
      </c>
      <c r="C10" s="156" t="s">
        <v>3790</v>
      </c>
      <c r="D10" s="157"/>
      <c r="E10" s="158"/>
      <c r="F10" s="159">
        <f>IF(C10="T",$T$2,IF(C10="W",$T$4,IF(C10="C",$T$5,IF(C10="M",$T$6,IF(C10="E",$R$10,0)))))</f>
        <v>540</v>
      </c>
      <c r="G10" s="160">
        <v>447.92</v>
      </c>
      <c r="H10" s="160">
        <f t="shared" ref="H10:H48" si="0">E10*F10*G10*IF(J10&gt;0,J10,1)</f>
        <v>0</v>
      </c>
      <c r="I10" s="157"/>
      <c r="J10" s="161"/>
      <c r="K10" s="162"/>
      <c r="L10" s="127" t="s">
        <v>3823</v>
      </c>
      <c r="M10" s="132">
        <v>45474</v>
      </c>
      <c r="N10" s="132"/>
      <c r="O10" s="132"/>
      <c r="P10" s="132"/>
      <c r="Q10" s="132">
        <v>45623</v>
      </c>
      <c r="R10" s="138">
        <f>+Q10-M10+1</f>
        <v>150</v>
      </c>
      <c r="S10" s="134">
        <f>ROUND(R10/30,1)</f>
        <v>5</v>
      </c>
      <c r="T10" s="135" t="s">
        <v>3824</v>
      </c>
      <c r="AA10" s="165">
        <v>1</v>
      </c>
      <c r="AB10" s="166" t="s">
        <v>3825</v>
      </c>
      <c r="AC10" s="128" t="s">
        <v>3826</v>
      </c>
      <c r="AD10" s="129" t="s">
        <v>3791</v>
      </c>
      <c r="AE10" s="167" t="s">
        <v>3827</v>
      </c>
      <c r="AF10" s="168">
        <v>1</v>
      </c>
      <c r="AG10" s="169">
        <v>17</v>
      </c>
      <c r="AH10" s="169">
        <f>AG10*AF10</f>
        <v>17</v>
      </c>
      <c r="AI10" s="170">
        <v>10200</v>
      </c>
      <c r="AJ10" s="170">
        <f>AI10*AG10*AF10</f>
        <v>173400</v>
      </c>
      <c r="AK10" s="171"/>
      <c r="AL10" s="172"/>
      <c r="AO10" s="126" t="s">
        <v>3828</v>
      </c>
    </row>
    <row r="11" spans="1:41" ht="25.5" outlineLevel="1">
      <c r="A11" s="165">
        <v>2</v>
      </c>
      <c r="B11" s="166" t="s">
        <v>3829</v>
      </c>
      <c r="C11" s="173" t="s">
        <v>3790</v>
      </c>
      <c r="D11" s="168">
        <v>0</v>
      </c>
      <c r="E11" s="168">
        <v>1</v>
      </c>
      <c r="F11" s="169">
        <f>IF(C11="T",$T$2,IF(C11="W",$T$4,IF(C11="C",$T$5,IF(C11="M",$T$6,IF(C11="E",$R$10,0)))))</f>
        <v>540</v>
      </c>
      <c r="G11" s="174">
        <v>271.19</v>
      </c>
      <c r="H11" s="174">
        <f t="shared" si="0"/>
        <v>87865.56</v>
      </c>
      <c r="I11" s="175"/>
      <c r="J11" s="172">
        <v>0.6</v>
      </c>
      <c r="K11" s="162">
        <f>H11*3.84/18/1.49</f>
        <v>12580.303892617447</v>
      </c>
      <c r="L11" s="176">
        <f>ROUND((+K11/E11),2)</f>
        <v>12580.3</v>
      </c>
      <c r="M11" s="126" t="s">
        <v>3830</v>
      </c>
      <c r="R11" s="126" t="s">
        <v>3831</v>
      </c>
      <c r="AA11" s="165">
        <v>2</v>
      </c>
      <c r="AB11" s="166" t="s">
        <v>3832</v>
      </c>
      <c r="AC11" s="128" t="s">
        <v>3833</v>
      </c>
      <c r="AD11" s="129" t="s">
        <v>3791</v>
      </c>
      <c r="AE11" s="167" t="s">
        <v>3827</v>
      </c>
      <c r="AF11" s="168">
        <v>1</v>
      </c>
      <c r="AG11" s="169">
        <v>15</v>
      </c>
      <c r="AH11" s="169">
        <f>AG11*AF11</f>
        <v>15</v>
      </c>
      <c r="AI11" s="170">
        <v>9000</v>
      </c>
      <c r="AJ11" s="170">
        <f t="shared" ref="AJ11:AJ13" si="1">AI11*AG11*AF11</f>
        <v>135000</v>
      </c>
      <c r="AK11" s="175"/>
      <c r="AL11" s="172"/>
      <c r="AO11" s="126" t="s">
        <v>3834</v>
      </c>
    </row>
    <row r="12" spans="1:41" outlineLevel="1">
      <c r="A12" s="165">
        <v>8</v>
      </c>
      <c r="B12" s="166" t="s">
        <v>3835</v>
      </c>
      <c r="C12" s="173" t="s">
        <v>3790</v>
      </c>
      <c r="D12" s="168" t="s">
        <v>3836</v>
      </c>
      <c r="E12" s="168">
        <v>1</v>
      </c>
      <c r="F12" s="169">
        <f>IF(C12="T",$T$2,IF(C12="W",$T$4,IF(C12="C",$T$5,IF(C12="M",$T$6,IF(C12="E",$R$10,0)))))</f>
        <v>540</v>
      </c>
      <c r="G12" s="174">
        <v>137.09</v>
      </c>
      <c r="H12" s="174">
        <f t="shared" si="0"/>
        <v>74028.600000000006</v>
      </c>
      <c r="I12" s="175"/>
      <c r="J12" s="172"/>
      <c r="K12" s="162">
        <f>H12*3.84/18/1.49</f>
        <v>10599.173154362417</v>
      </c>
      <c r="L12" s="176">
        <f t="shared" ref="L12:L18" si="2">ROUND((+K12/E12),2)</f>
        <v>10599.17</v>
      </c>
      <c r="M12" s="126" t="s">
        <v>3837</v>
      </c>
      <c r="AA12" s="165">
        <v>3</v>
      </c>
      <c r="AB12" s="166" t="s">
        <v>3838</v>
      </c>
      <c r="AC12" s="128" t="s">
        <v>3839</v>
      </c>
      <c r="AD12" s="129" t="s">
        <v>3791</v>
      </c>
      <c r="AE12" s="167" t="s">
        <v>3840</v>
      </c>
      <c r="AF12" s="168">
        <v>1</v>
      </c>
      <c r="AG12" s="169">
        <v>17</v>
      </c>
      <c r="AH12" s="169">
        <f t="shared" ref="AH12:AH13" si="3">AG12*AF12</f>
        <v>17</v>
      </c>
      <c r="AI12" s="170">
        <v>7500</v>
      </c>
      <c r="AJ12" s="170">
        <f t="shared" si="1"/>
        <v>127500</v>
      </c>
      <c r="AK12" s="175"/>
      <c r="AL12" s="172"/>
      <c r="AO12" s="126" t="s">
        <v>3841</v>
      </c>
    </row>
    <row r="13" spans="1:41" outlineLevel="1">
      <c r="A13" s="165">
        <v>10</v>
      </c>
      <c r="B13" s="166" t="s">
        <v>3842</v>
      </c>
      <c r="C13" s="173" t="s">
        <v>3800</v>
      </c>
      <c r="D13" s="168" t="s">
        <v>3843</v>
      </c>
      <c r="E13" s="168"/>
      <c r="F13" s="169">
        <f>IF(C13="T",$T$2,IF(C13="W",$T$4,IF(C13="C",$T$5,IF(C13="M",$T$6,IF(C13="E",$R$10,0)))))</f>
        <v>421</v>
      </c>
      <c r="G13" s="174">
        <v>96.86</v>
      </c>
      <c r="H13" s="174">
        <f t="shared" si="0"/>
        <v>0</v>
      </c>
      <c r="I13" s="175"/>
      <c r="J13" s="172"/>
      <c r="K13" s="162"/>
      <c r="L13" s="162" t="e">
        <f t="shared" si="2"/>
        <v>#DIV/0!</v>
      </c>
      <c r="AA13" s="165">
        <v>4</v>
      </c>
      <c r="AB13" s="166" t="s">
        <v>3844</v>
      </c>
      <c r="AC13" s="128" t="s">
        <v>3845</v>
      </c>
      <c r="AD13" s="129" t="s">
        <v>3791</v>
      </c>
      <c r="AE13" s="167" t="s">
        <v>3827</v>
      </c>
      <c r="AF13" s="168">
        <v>1</v>
      </c>
      <c r="AG13" s="169">
        <v>15</v>
      </c>
      <c r="AH13" s="169">
        <f t="shared" si="3"/>
        <v>15</v>
      </c>
      <c r="AI13" s="170">
        <v>6000</v>
      </c>
      <c r="AJ13" s="170">
        <f t="shared" si="1"/>
        <v>90000</v>
      </c>
      <c r="AK13" s="175"/>
      <c r="AL13" s="172"/>
      <c r="AO13" s="126" t="s">
        <v>3846</v>
      </c>
    </row>
    <row r="14" spans="1:41" outlineLevel="1">
      <c r="A14" s="177">
        <v>10</v>
      </c>
      <c r="B14" s="178" t="s">
        <v>3842</v>
      </c>
      <c r="C14" s="179" t="s">
        <v>3808</v>
      </c>
      <c r="D14" s="180" t="s">
        <v>3847</v>
      </c>
      <c r="E14" s="180">
        <v>1</v>
      </c>
      <c r="F14" s="181">
        <f>IF(C14="T",$T$2,IF(C14="W",$T$4,IF(C14="C",$T$5,IF(C14="M",$T$6,IF(C14="E",$R$10,0)))))</f>
        <v>300</v>
      </c>
      <c r="G14" s="182">
        <v>96.86</v>
      </c>
      <c r="H14" s="182">
        <f>E14*F14*G14*IF(J14&gt;0,J14,1)</f>
        <v>29058</v>
      </c>
      <c r="I14" s="183"/>
      <c r="J14" s="184"/>
      <c r="K14" s="162">
        <f>H14*3.84/18/1.49</f>
        <v>4160.4295302013425</v>
      </c>
      <c r="L14" s="185">
        <f>ROUND((+K14/E14),2)</f>
        <v>4160.43</v>
      </c>
      <c r="M14" s="126" t="s">
        <v>3848</v>
      </c>
      <c r="AA14" s="177"/>
      <c r="AB14" s="178"/>
      <c r="AC14" s="186"/>
      <c r="AD14" s="187"/>
      <c r="AE14" s="188"/>
      <c r="AF14" s="180"/>
      <c r="AG14" s="181">
        <f>IF(AE14="T",$T$2,IF(AE14="W",$T$4,IF(AE14="C",$T$5,IF(AE14="M",$T$6,IF(AE14="E",$R$10,0)))))</f>
        <v>0</v>
      </c>
      <c r="AH14" s="181"/>
      <c r="AI14" s="189"/>
      <c r="AJ14" s="189"/>
      <c r="AK14" s="183"/>
      <c r="AL14" s="184"/>
      <c r="AO14" s="126" t="s">
        <v>3849</v>
      </c>
    </row>
    <row r="15" spans="1:41" outlineLevel="1">
      <c r="A15" s="165"/>
      <c r="B15" s="166"/>
      <c r="C15" s="173"/>
      <c r="D15" s="168"/>
      <c r="E15" s="168"/>
      <c r="F15" s="190"/>
      <c r="G15" s="174"/>
      <c r="H15" s="174"/>
      <c r="I15" s="191"/>
      <c r="J15" s="172"/>
      <c r="K15" s="162"/>
      <c r="L15" s="185"/>
      <c r="AA15" s="165"/>
      <c r="AB15" s="192" t="s">
        <v>3850</v>
      </c>
      <c r="AC15" s="193"/>
      <c r="AD15" s="129"/>
      <c r="AE15" s="167"/>
      <c r="AF15" s="168"/>
      <c r="AG15" s="190"/>
      <c r="AH15" s="190"/>
      <c r="AI15" s="170"/>
      <c r="AJ15" s="170"/>
      <c r="AK15" s="191"/>
      <c r="AL15" s="172"/>
    </row>
    <row r="16" spans="1:41" ht="25.5" outlineLevel="1">
      <c r="A16" s="165">
        <v>25</v>
      </c>
      <c r="B16" s="155" t="s">
        <v>3851</v>
      </c>
      <c r="C16" s="156" t="s">
        <v>3790</v>
      </c>
      <c r="D16" s="158" t="s">
        <v>3852</v>
      </c>
      <c r="E16" s="158">
        <v>1</v>
      </c>
      <c r="F16" s="159">
        <f t="shared" ref="F16:F49" si="4">IF(C16="T",$T$2,IF(C16="W",$T$4,IF(C16="C",$T$5,IF(C16="M",$T$6,IF(C16="E",$R$10,0)))))</f>
        <v>540</v>
      </c>
      <c r="G16" s="160">
        <v>66.02</v>
      </c>
      <c r="H16" s="160">
        <f t="shared" si="0"/>
        <v>35650.799999999996</v>
      </c>
      <c r="I16" s="194"/>
      <c r="J16" s="161"/>
      <c r="K16" s="162">
        <f>H16*3.84/18/1.49</f>
        <v>5104.3651006711407</v>
      </c>
      <c r="L16" s="162">
        <f t="shared" si="2"/>
        <v>5104.37</v>
      </c>
      <c r="AA16" s="165">
        <f>+AA13+1</f>
        <v>5</v>
      </c>
      <c r="AB16" s="166" t="s">
        <v>3853</v>
      </c>
      <c r="AC16" s="128" t="s">
        <v>3854</v>
      </c>
      <c r="AD16" s="129" t="s">
        <v>3855</v>
      </c>
      <c r="AE16" s="167" t="s">
        <v>3827</v>
      </c>
      <c r="AF16" s="168">
        <v>1</v>
      </c>
      <c r="AG16" s="169">
        <v>17</v>
      </c>
      <c r="AH16" s="169">
        <f t="shared" ref="AH16:AH40" si="5">AG16*AF16</f>
        <v>17</v>
      </c>
      <c r="AI16" s="170">
        <v>12000</v>
      </c>
      <c r="AJ16" s="170">
        <f t="shared" ref="AJ16:AJ40" si="6">AI16*AG16*AF16</f>
        <v>204000</v>
      </c>
      <c r="AK16" s="175"/>
      <c r="AL16" s="172"/>
      <c r="AO16" s="126" t="s">
        <v>3856</v>
      </c>
    </row>
    <row r="17" spans="1:41" ht="51" outlineLevel="1">
      <c r="A17" s="165">
        <v>26</v>
      </c>
      <c r="B17" s="166" t="s">
        <v>3857</v>
      </c>
      <c r="C17" s="173" t="s">
        <v>3790</v>
      </c>
      <c r="D17" s="168" t="s">
        <v>3858</v>
      </c>
      <c r="E17" s="168"/>
      <c r="F17" s="169">
        <f t="shared" si="4"/>
        <v>540</v>
      </c>
      <c r="G17" s="174">
        <v>55.29</v>
      </c>
      <c r="H17" s="174">
        <f t="shared" si="0"/>
        <v>0</v>
      </c>
      <c r="I17" s="175"/>
      <c r="J17" s="172"/>
      <c r="K17" s="162"/>
      <c r="L17" s="176" t="e">
        <f t="shared" si="2"/>
        <v>#DIV/0!</v>
      </c>
      <c r="AA17" s="165">
        <f>+AA16+1</f>
        <v>6</v>
      </c>
      <c r="AB17" s="166" t="s">
        <v>3859</v>
      </c>
      <c r="AC17" s="128" t="s">
        <v>3860</v>
      </c>
      <c r="AD17" s="129" t="s">
        <v>3855</v>
      </c>
      <c r="AE17" s="167" t="s">
        <v>3840</v>
      </c>
      <c r="AF17" s="168">
        <v>1</v>
      </c>
      <c r="AG17" s="169">
        <f t="shared" ref="AG17:AG23" si="7">15+1</f>
        <v>16</v>
      </c>
      <c r="AH17" s="169">
        <f t="shared" si="5"/>
        <v>16</v>
      </c>
      <c r="AI17" s="170">
        <v>9000</v>
      </c>
      <c r="AJ17" s="170">
        <f t="shared" si="6"/>
        <v>144000</v>
      </c>
      <c r="AK17" s="175"/>
      <c r="AL17" s="172"/>
      <c r="AO17" s="126" t="s">
        <v>3861</v>
      </c>
    </row>
    <row r="18" spans="1:41" ht="51" outlineLevel="1">
      <c r="A18" s="165">
        <v>29</v>
      </c>
      <c r="B18" s="166" t="s">
        <v>3862</v>
      </c>
      <c r="C18" s="173" t="s">
        <v>3795</v>
      </c>
      <c r="D18" s="168" t="s">
        <v>3863</v>
      </c>
      <c r="E18" s="168">
        <v>1</v>
      </c>
      <c r="F18" s="169">
        <f t="shared" si="4"/>
        <v>540</v>
      </c>
      <c r="G18" s="174">
        <v>48.06</v>
      </c>
      <c r="H18" s="174">
        <f t="shared" si="0"/>
        <v>25952.400000000001</v>
      </c>
      <c r="I18" s="175"/>
      <c r="J18" s="172"/>
      <c r="K18" s="162">
        <f t="shared" ref="K18" si="8">H18*3.84/18/1.49</f>
        <v>3715.7798657718117</v>
      </c>
      <c r="L18" s="176">
        <f t="shared" si="2"/>
        <v>3715.78</v>
      </c>
      <c r="AA18" s="165">
        <f t="shared" ref="AA18:AA41" si="9">+AA17+1</f>
        <v>7</v>
      </c>
      <c r="AB18" s="166" t="s">
        <v>3864</v>
      </c>
      <c r="AC18" s="128" t="s">
        <v>3865</v>
      </c>
      <c r="AD18" s="129" t="s">
        <v>3855</v>
      </c>
      <c r="AE18" s="167" t="s">
        <v>3840</v>
      </c>
      <c r="AF18" s="168">
        <v>1</v>
      </c>
      <c r="AG18" s="169">
        <f t="shared" si="7"/>
        <v>16</v>
      </c>
      <c r="AH18" s="169">
        <f t="shared" si="5"/>
        <v>16</v>
      </c>
      <c r="AI18" s="170">
        <v>6000</v>
      </c>
      <c r="AJ18" s="170">
        <f t="shared" si="6"/>
        <v>96000</v>
      </c>
      <c r="AK18" s="175"/>
      <c r="AL18" s="172"/>
      <c r="AO18" s="126" t="s">
        <v>3866</v>
      </c>
    </row>
    <row r="19" spans="1:41" ht="51" outlineLevel="1">
      <c r="A19" s="165"/>
      <c r="B19" s="166" t="s">
        <v>3857</v>
      </c>
      <c r="C19" s="173" t="s">
        <v>3795</v>
      </c>
      <c r="D19" s="168" t="s">
        <v>3867</v>
      </c>
      <c r="E19" s="168">
        <v>1</v>
      </c>
      <c r="F19" s="169">
        <f t="shared" si="4"/>
        <v>540</v>
      </c>
      <c r="G19" s="174">
        <v>55.29</v>
      </c>
      <c r="H19" s="174">
        <f t="shared" si="0"/>
        <v>29856.6</v>
      </c>
      <c r="I19" s="175"/>
      <c r="J19" s="172"/>
      <c r="K19" s="162"/>
      <c r="L19" s="176"/>
      <c r="AA19" s="165">
        <f t="shared" si="9"/>
        <v>8</v>
      </c>
      <c r="AB19" s="166" t="s">
        <v>3868</v>
      </c>
      <c r="AC19" s="128" t="s">
        <v>3869</v>
      </c>
      <c r="AD19" s="129" t="s">
        <v>3855</v>
      </c>
      <c r="AE19" s="167" t="s">
        <v>3840</v>
      </c>
      <c r="AF19" s="168">
        <v>1</v>
      </c>
      <c r="AG19" s="169">
        <f t="shared" si="7"/>
        <v>16</v>
      </c>
      <c r="AH19" s="169">
        <f t="shared" si="5"/>
        <v>16</v>
      </c>
      <c r="AI19" s="170">
        <v>5000</v>
      </c>
      <c r="AJ19" s="170">
        <f t="shared" si="6"/>
        <v>80000</v>
      </c>
      <c r="AK19" s="175"/>
      <c r="AL19" s="172"/>
    </row>
    <row r="20" spans="1:41" ht="51" outlineLevel="1">
      <c r="A20" s="165"/>
      <c r="B20" s="166" t="s">
        <v>3857</v>
      </c>
      <c r="C20" s="173" t="s">
        <v>3795</v>
      </c>
      <c r="D20" s="168" t="s">
        <v>3867</v>
      </c>
      <c r="E20" s="168">
        <v>1</v>
      </c>
      <c r="F20" s="169">
        <f t="shared" si="4"/>
        <v>540</v>
      </c>
      <c r="G20" s="174">
        <v>55.29</v>
      </c>
      <c r="H20" s="174">
        <f t="shared" si="0"/>
        <v>29856.6</v>
      </c>
      <c r="I20" s="175"/>
      <c r="J20" s="172"/>
      <c r="K20" s="162"/>
      <c r="L20" s="176"/>
      <c r="AA20" s="165">
        <f t="shared" si="9"/>
        <v>9</v>
      </c>
      <c r="AB20" s="166" t="s">
        <v>3870</v>
      </c>
      <c r="AC20" s="128" t="s">
        <v>3871</v>
      </c>
      <c r="AD20" s="129" t="s">
        <v>3855</v>
      </c>
      <c r="AE20" s="167" t="s">
        <v>3840</v>
      </c>
      <c r="AF20" s="168">
        <v>1</v>
      </c>
      <c r="AG20" s="169">
        <v>15</v>
      </c>
      <c r="AH20" s="169">
        <f t="shared" si="5"/>
        <v>15</v>
      </c>
      <c r="AI20" s="170">
        <v>6500</v>
      </c>
      <c r="AJ20" s="170">
        <f t="shared" si="6"/>
        <v>97500</v>
      </c>
      <c r="AK20" s="175"/>
      <c r="AL20" s="172"/>
    </row>
    <row r="21" spans="1:41" outlineLevel="1">
      <c r="A21" s="165"/>
      <c r="B21" s="155" t="s">
        <v>3872</v>
      </c>
      <c r="C21" s="156" t="s">
        <v>3790</v>
      </c>
      <c r="D21" s="158">
        <v>0</v>
      </c>
      <c r="E21" s="158">
        <v>1</v>
      </c>
      <c r="F21" s="159">
        <f t="shared" si="4"/>
        <v>540</v>
      </c>
      <c r="G21" s="160">
        <v>110.27</v>
      </c>
      <c r="H21" s="160">
        <f t="shared" si="0"/>
        <v>59545.799999999996</v>
      </c>
      <c r="I21" s="194"/>
      <c r="J21" s="161"/>
      <c r="K21" s="162">
        <f>H19*3.84/18/1.49</f>
        <v>4274.7704697986574</v>
      </c>
      <c r="L21" s="162">
        <f>ROUND((+K21/E19),2)</f>
        <v>4274.7700000000004</v>
      </c>
      <c r="S21" s="126" t="s">
        <v>3873</v>
      </c>
      <c r="AA21" s="165">
        <f t="shared" si="9"/>
        <v>10</v>
      </c>
      <c r="AB21" s="166" t="s">
        <v>3874</v>
      </c>
      <c r="AC21" s="128" t="s">
        <v>3875</v>
      </c>
      <c r="AD21" s="129" t="s">
        <v>3855</v>
      </c>
      <c r="AE21" s="167" t="s">
        <v>3840</v>
      </c>
      <c r="AF21" s="168">
        <v>1</v>
      </c>
      <c r="AG21" s="169">
        <v>11</v>
      </c>
      <c r="AH21" s="169">
        <f t="shared" si="5"/>
        <v>11</v>
      </c>
      <c r="AI21" s="170">
        <v>7000</v>
      </c>
      <c r="AJ21" s="170">
        <f t="shared" si="6"/>
        <v>77000</v>
      </c>
      <c r="AK21" s="175"/>
      <c r="AL21" s="172"/>
      <c r="AO21" s="126" t="s">
        <v>3876</v>
      </c>
    </row>
    <row r="22" spans="1:41" ht="25.5" outlineLevel="1">
      <c r="A22" s="165"/>
      <c r="B22" s="166" t="s">
        <v>3877</v>
      </c>
      <c r="C22" s="173" t="s">
        <v>3795</v>
      </c>
      <c r="D22" s="168" t="s">
        <v>3878</v>
      </c>
      <c r="E22" s="168">
        <v>1</v>
      </c>
      <c r="F22" s="190">
        <f t="shared" si="4"/>
        <v>540</v>
      </c>
      <c r="G22" s="174">
        <v>86.14</v>
      </c>
      <c r="H22" s="174">
        <f t="shared" si="0"/>
        <v>46515.6</v>
      </c>
      <c r="I22" s="175" t="s">
        <v>3879</v>
      </c>
      <c r="J22" s="172"/>
      <c r="K22" s="162"/>
      <c r="L22" s="176"/>
      <c r="AA22" s="165">
        <f t="shared" si="9"/>
        <v>11</v>
      </c>
      <c r="AB22" s="166" t="s">
        <v>3874</v>
      </c>
      <c r="AC22" s="128" t="s">
        <v>3880</v>
      </c>
      <c r="AD22" s="129" t="s">
        <v>3881</v>
      </c>
      <c r="AE22" s="167" t="s">
        <v>3840</v>
      </c>
      <c r="AF22" s="168">
        <v>1</v>
      </c>
      <c r="AG22" s="169">
        <v>12</v>
      </c>
      <c r="AH22" s="169">
        <f t="shared" si="5"/>
        <v>12</v>
      </c>
      <c r="AI22" s="170">
        <v>5000</v>
      </c>
      <c r="AJ22" s="170">
        <f t="shared" si="6"/>
        <v>60000</v>
      </c>
      <c r="AK22" s="175"/>
      <c r="AL22" s="172"/>
    </row>
    <row r="23" spans="1:41" ht="25.5" outlineLevel="1">
      <c r="A23" s="165"/>
      <c r="B23" s="166" t="s">
        <v>3882</v>
      </c>
      <c r="C23" s="173" t="s">
        <v>3795</v>
      </c>
      <c r="D23" s="168" t="s">
        <v>3883</v>
      </c>
      <c r="E23" s="168">
        <v>1</v>
      </c>
      <c r="F23" s="190">
        <f t="shared" si="4"/>
        <v>540</v>
      </c>
      <c r="G23" s="174">
        <v>66.02</v>
      </c>
      <c r="H23" s="174">
        <f t="shared" si="0"/>
        <v>35650.799999999996</v>
      </c>
      <c r="I23" s="175"/>
      <c r="J23" s="172"/>
      <c r="K23" s="162"/>
      <c r="L23" s="176"/>
      <c r="AA23" s="165">
        <f t="shared" si="9"/>
        <v>12</v>
      </c>
      <c r="AB23" s="166" t="s">
        <v>3884</v>
      </c>
      <c r="AC23" s="128" t="s">
        <v>3885</v>
      </c>
      <c r="AD23" s="129" t="s">
        <v>3881</v>
      </c>
      <c r="AE23" s="167" t="s">
        <v>3840</v>
      </c>
      <c r="AF23" s="168">
        <v>1</v>
      </c>
      <c r="AG23" s="169">
        <f t="shared" si="7"/>
        <v>16</v>
      </c>
      <c r="AH23" s="169">
        <f t="shared" si="5"/>
        <v>16</v>
      </c>
      <c r="AI23" s="170">
        <v>7000</v>
      </c>
      <c r="AJ23" s="170">
        <f t="shared" si="6"/>
        <v>112000</v>
      </c>
      <c r="AK23" s="175"/>
      <c r="AL23" s="172"/>
    </row>
    <row r="24" spans="1:41" ht="25.5" outlineLevel="1">
      <c r="A24" s="165"/>
      <c r="B24" s="166" t="s">
        <v>3882</v>
      </c>
      <c r="C24" s="173" t="s">
        <v>3795</v>
      </c>
      <c r="D24" s="168" t="s">
        <v>3886</v>
      </c>
      <c r="E24" s="168">
        <v>1</v>
      </c>
      <c r="F24" s="190">
        <f t="shared" si="4"/>
        <v>540</v>
      </c>
      <c r="G24" s="174">
        <v>66.02</v>
      </c>
      <c r="H24" s="174">
        <f t="shared" si="0"/>
        <v>35650.799999999996</v>
      </c>
      <c r="I24" s="175"/>
      <c r="J24" s="172"/>
      <c r="K24" s="162"/>
      <c r="L24" s="176"/>
      <c r="AA24" s="165">
        <f t="shared" si="9"/>
        <v>13</v>
      </c>
      <c r="AB24" s="166" t="s">
        <v>3874</v>
      </c>
      <c r="AC24" s="128" t="s">
        <v>3887</v>
      </c>
      <c r="AD24" s="129" t="s">
        <v>3881</v>
      </c>
      <c r="AE24" s="167" t="s">
        <v>3840</v>
      </c>
      <c r="AF24" s="168">
        <v>1</v>
      </c>
      <c r="AG24" s="169">
        <v>10</v>
      </c>
      <c r="AH24" s="169">
        <f t="shared" si="5"/>
        <v>10</v>
      </c>
      <c r="AI24" s="170">
        <v>3500</v>
      </c>
      <c r="AJ24" s="170">
        <f t="shared" si="6"/>
        <v>35000</v>
      </c>
      <c r="AK24" s="175"/>
      <c r="AL24" s="172"/>
    </row>
    <row r="25" spans="1:41" outlineLevel="1">
      <c r="A25" s="165"/>
      <c r="B25" s="166" t="s">
        <v>3888</v>
      </c>
      <c r="C25" s="173" t="s">
        <v>3795</v>
      </c>
      <c r="D25" s="168">
        <v>0</v>
      </c>
      <c r="E25" s="168">
        <v>2</v>
      </c>
      <c r="F25" s="190">
        <f t="shared" si="4"/>
        <v>540</v>
      </c>
      <c r="G25" s="174">
        <v>60.25</v>
      </c>
      <c r="H25" s="174">
        <f t="shared" si="0"/>
        <v>65070</v>
      </c>
      <c r="I25" s="175"/>
      <c r="J25" s="172"/>
      <c r="K25" s="162"/>
      <c r="L25" s="176"/>
      <c r="AA25" s="165">
        <f t="shared" si="9"/>
        <v>14</v>
      </c>
      <c r="AB25" s="166" t="s">
        <v>3874</v>
      </c>
      <c r="AC25" s="128" t="s">
        <v>3889</v>
      </c>
      <c r="AD25" s="129" t="s">
        <v>3881</v>
      </c>
      <c r="AE25" s="167" t="s">
        <v>3840</v>
      </c>
      <c r="AF25" s="168">
        <v>1</v>
      </c>
      <c r="AG25" s="169">
        <v>10</v>
      </c>
      <c r="AH25" s="169">
        <f t="shared" si="5"/>
        <v>10</v>
      </c>
      <c r="AI25" s="170">
        <v>4500</v>
      </c>
      <c r="AJ25" s="170">
        <f t="shared" si="6"/>
        <v>45000</v>
      </c>
      <c r="AK25" s="175"/>
      <c r="AL25" s="172"/>
    </row>
    <row r="26" spans="1:41" outlineLevel="1">
      <c r="A26" s="165"/>
      <c r="B26" s="166" t="s">
        <v>3890</v>
      </c>
      <c r="C26" s="173" t="s">
        <v>3790</v>
      </c>
      <c r="D26" s="168">
        <v>0</v>
      </c>
      <c r="E26" s="168"/>
      <c r="F26" s="190">
        <f t="shared" si="4"/>
        <v>540</v>
      </c>
      <c r="G26" s="174">
        <v>83.45</v>
      </c>
      <c r="H26" s="174">
        <f t="shared" si="0"/>
        <v>0</v>
      </c>
      <c r="I26" s="175"/>
      <c r="J26" s="172"/>
      <c r="K26" s="162"/>
      <c r="L26" s="176"/>
      <c r="AA26" s="165">
        <f t="shared" si="9"/>
        <v>15</v>
      </c>
      <c r="AB26" s="166" t="s">
        <v>3874</v>
      </c>
      <c r="AC26" s="128" t="s">
        <v>3891</v>
      </c>
      <c r="AD26" s="129" t="s">
        <v>3881</v>
      </c>
      <c r="AE26" s="167" t="s">
        <v>3840</v>
      </c>
      <c r="AF26" s="168">
        <v>1</v>
      </c>
      <c r="AG26" s="169">
        <v>9</v>
      </c>
      <c r="AH26" s="169">
        <f t="shared" si="5"/>
        <v>9</v>
      </c>
      <c r="AI26" s="170">
        <v>7000</v>
      </c>
      <c r="AJ26" s="170">
        <f t="shared" si="6"/>
        <v>63000</v>
      </c>
      <c r="AK26" s="175"/>
      <c r="AL26" s="172"/>
    </row>
    <row r="27" spans="1:41" outlineLevel="1">
      <c r="A27" s="165"/>
      <c r="B27" s="166" t="s">
        <v>3892</v>
      </c>
      <c r="C27" s="173" t="s">
        <v>3795</v>
      </c>
      <c r="D27" s="168">
        <v>0</v>
      </c>
      <c r="E27" s="168">
        <v>1</v>
      </c>
      <c r="F27" s="190">
        <f t="shared" si="4"/>
        <v>540</v>
      </c>
      <c r="G27" s="174">
        <v>55.29</v>
      </c>
      <c r="H27" s="174">
        <f t="shared" si="0"/>
        <v>29856.6</v>
      </c>
      <c r="I27" s="175"/>
      <c r="J27" s="172"/>
      <c r="K27" s="162"/>
      <c r="L27" s="176"/>
      <c r="AA27" s="165">
        <f t="shared" si="9"/>
        <v>16</v>
      </c>
      <c r="AB27" s="166" t="s">
        <v>3874</v>
      </c>
      <c r="AC27" s="128" t="s">
        <v>3893</v>
      </c>
      <c r="AD27" s="129" t="s">
        <v>3881</v>
      </c>
      <c r="AE27" s="167" t="s">
        <v>3840</v>
      </c>
      <c r="AF27" s="168">
        <v>1</v>
      </c>
      <c r="AG27" s="169">
        <v>12</v>
      </c>
      <c r="AH27" s="169">
        <f t="shared" si="5"/>
        <v>12</v>
      </c>
      <c r="AI27" s="170">
        <v>4500</v>
      </c>
      <c r="AJ27" s="170">
        <f t="shared" si="6"/>
        <v>54000</v>
      </c>
      <c r="AK27" s="175"/>
      <c r="AL27" s="172"/>
    </row>
    <row r="28" spans="1:41" outlineLevel="1">
      <c r="A28" s="154">
        <v>17</v>
      </c>
      <c r="B28" s="155" t="s">
        <v>3894</v>
      </c>
      <c r="C28" s="156" t="s">
        <v>3790</v>
      </c>
      <c r="D28" s="158">
        <v>0</v>
      </c>
      <c r="E28" s="158"/>
      <c r="F28" s="159">
        <f t="shared" si="4"/>
        <v>540</v>
      </c>
      <c r="G28" s="160">
        <v>137.09</v>
      </c>
      <c r="H28" s="160">
        <f t="shared" si="0"/>
        <v>0</v>
      </c>
      <c r="I28" s="194"/>
      <c r="J28" s="161"/>
      <c r="K28" s="162"/>
      <c r="L28" s="176"/>
      <c r="AA28" s="165">
        <f t="shared" si="9"/>
        <v>17</v>
      </c>
      <c r="AB28" s="166" t="s">
        <v>3874</v>
      </c>
      <c r="AC28" s="128" t="s">
        <v>3895</v>
      </c>
      <c r="AD28" s="129" t="s">
        <v>3881</v>
      </c>
      <c r="AE28" s="167" t="s">
        <v>3840</v>
      </c>
      <c r="AF28" s="168">
        <v>1</v>
      </c>
      <c r="AG28" s="169">
        <v>15</v>
      </c>
      <c r="AH28" s="169">
        <f t="shared" si="5"/>
        <v>15</v>
      </c>
      <c r="AI28" s="170">
        <v>6000</v>
      </c>
      <c r="AJ28" s="170">
        <f t="shared" si="6"/>
        <v>90000</v>
      </c>
      <c r="AK28" s="175"/>
      <c r="AL28" s="172"/>
    </row>
    <row r="29" spans="1:41" ht="25.5" outlineLevel="1">
      <c r="A29" s="165">
        <v>13</v>
      </c>
      <c r="B29" s="166" t="s">
        <v>3896</v>
      </c>
      <c r="C29" s="173" t="s">
        <v>3800</v>
      </c>
      <c r="D29" s="168" t="s">
        <v>3897</v>
      </c>
      <c r="E29" s="168">
        <v>1</v>
      </c>
      <c r="F29" s="190">
        <f t="shared" si="4"/>
        <v>421</v>
      </c>
      <c r="G29" s="174">
        <v>78.09</v>
      </c>
      <c r="H29" s="174">
        <f t="shared" si="0"/>
        <v>32875.89</v>
      </c>
      <c r="I29" s="175"/>
      <c r="J29" s="172"/>
      <c r="K29" s="162"/>
      <c r="L29" s="176"/>
      <c r="AA29" s="165">
        <f t="shared" si="9"/>
        <v>18</v>
      </c>
      <c r="AB29" s="166" t="s">
        <v>3874</v>
      </c>
      <c r="AC29" s="128" t="s">
        <v>3898</v>
      </c>
      <c r="AD29" s="129" t="s">
        <v>3881</v>
      </c>
      <c r="AE29" s="167" t="s">
        <v>3840</v>
      </c>
      <c r="AF29" s="168">
        <v>1</v>
      </c>
      <c r="AG29" s="169">
        <v>14</v>
      </c>
      <c r="AH29" s="169">
        <f t="shared" si="5"/>
        <v>14</v>
      </c>
      <c r="AI29" s="170">
        <v>3500</v>
      </c>
      <c r="AJ29" s="170">
        <f t="shared" si="6"/>
        <v>49000</v>
      </c>
      <c r="AK29" s="175"/>
      <c r="AL29" s="172"/>
    </row>
    <row r="30" spans="1:41" ht="25.5" outlineLevel="1">
      <c r="A30" s="165">
        <v>13</v>
      </c>
      <c r="B30" s="166" t="s">
        <v>3896</v>
      </c>
      <c r="C30" s="173" t="s">
        <v>3808</v>
      </c>
      <c r="D30" s="168" t="s">
        <v>3899</v>
      </c>
      <c r="E30" s="168">
        <v>1</v>
      </c>
      <c r="F30" s="190">
        <f t="shared" si="4"/>
        <v>300</v>
      </c>
      <c r="G30" s="174">
        <v>78.09</v>
      </c>
      <c r="H30" s="174">
        <f t="shared" si="0"/>
        <v>23427</v>
      </c>
      <c r="I30" s="191"/>
      <c r="J30" s="172"/>
      <c r="K30" s="162"/>
      <c r="L30" s="176"/>
      <c r="AA30" s="165">
        <f t="shared" si="9"/>
        <v>19</v>
      </c>
      <c r="AB30" s="166" t="s">
        <v>3874</v>
      </c>
      <c r="AC30" s="128" t="s">
        <v>3900</v>
      </c>
      <c r="AD30" s="129" t="s">
        <v>3901</v>
      </c>
      <c r="AE30" s="167" t="s">
        <v>3840</v>
      </c>
      <c r="AF30" s="168">
        <v>3</v>
      </c>
      <c r="AG30" s="169">
        <v>14</v>
      </c>
      <c r="AH30" s="169">
        <f t="shared" si="5"/>
        <v>42</v>
      </c>
      <c r="AI30" s="170">
        <v>3500</v>
      </c>
      <c r="AJ30" s="170">
        <f t="shared" si="6"/>
        <v>147000</v>
      </c>
      <c r="AK30" s="175"/>
      <c r="AL30" s="172"/>
    </row>
    <row r="31" spans="1:41" ht="25.5" outlineLevel="1">
      <c r="A31" s="165">
        <v>14</v>
      </c>
      <c r="B31" s="166" t="s">
        <v>3902</v>
      </c>
      <c r="C31" s="173" t="s">
        <v>3790</v>
      </c>
      <c r="D31" s="168" t="s">
        <v>3903</v>
      </c>
      <c r="E31" s="168">
        <v>2</v>
      </c>
      <c r="F31" s="190">
        <f t="shared" si="4"/>
        <v>540</v>
      </c>
      <c r="G31" s="174">
        <v>66.02</v>
      </c>
      <c r="H31" s="174">
        <f t="shared" si="0"/>
        <v>71301.599999999991</v>
      </c>
      <c r="I31" s="175"/>
      <c r="J31" s="172"/>
      <c r="K31" s="162"/>
      <c r="L31" s="176"/>
      <c r="AA31" s="165">
        <f t="shared" si="9"/>
        <v>20</v>
      </c>
      <c r="AB31" s="166" t="s">
        <v>3874</v>
      </c>
      <c r="AC31" s="128" t="s">
        <v>3904</v>
      </c>
      <c r="AD31" s="129" t="s">
        <v>3901</v>
      </c>
      <c r="AE31" s="167" t="s">
        <v>3840</v>
      </c>
      <c r="AF31" s="168">
        <v>1</v>
      </c>
      <c r="AG31" s="169">
        <v>13</v>
      </c>
      <c r="AH31" s="169">
        <f t="shared" si="5"/>
        <v>13</v>
      </c>
      <c r="AI31" s="170">
        <v>2100</v>
      </c>
      <c r="AJ31" s="170">
        <f t="shared" si="6"/>
        <v>27300</v>
      </c>
      <c r="AK31" s="175"/>
      <c r="AL31" s="172"/>
    </row>
    <row r="32" spans="1:41" outlineLevel="1">
      <c r="A32" s="165">
        <v>15</v>
      </c>
      <c r="B32" s="166" t="s">
        <v>3905</v>
      </c>
      <c r="C32" s="173" t="s">
        <v>3795</v>
      </c>
      <c r="D32" s="168" t="s">
        <v>3906</v>
      </c>
      <c r="E32" s="168">
        <v>1</v>
      </c>
      <c r="F32" s="190">
        <f t="shared" si="4"/>
        <v>540</v>
      </c>
      <c r="G32" s="174">
        <v>55.29</v>
      </c>
      <c r="H32" s="174">
        <f t="shared" si="0"/>
        <v>29856.6</v>
      </c>
      <c r="I32" s="175"/>
      <c r="J32" s="172"/>
      <c r="K32" s="162"/>
      <c r="L32" s="176"/>
      <c r="AA32" s="165">
        <f t="shared" si="9"/>
        <v>21</v>
      </c>
      <c r="AB32" s="166" t="s">
        <v>3874</v>
      </c>
      <c r="AC32" s="128" t="s">
        <v>3907</v>
      </c>
      <c r="AD32" s="129" t="s">
        <v>3901</v>
      </c>
      <c r="AE32" s="167" t="s">
        <v>3840</v>
      </c>
      <c r="AF32" s="168">
        <v>1</v>
      </c>
      <c r="AG32" s="169">
        <v>12</v>
      </c>
      <c r="AH32" s="169">
        <f t="shared" si="5"/>
        <v>12</v>
      </c>
      <c r="AI32" s="170">
        <v>2800</v>
      </c>
      <c r="AJ32" s="170">
        <f t="shared" si="6"/>
        <v>33600</v>
      </c>
      <c r="AK32" s="175"/>
      <c r="AL32" s="172"/>
    </row>
    <row r="33" spans="1:38" outlineLevel="1">
      <c r="A33" s="177">
        <v>15</v>
      </c>
      <c r="B33" s="178" t="s">
        <v>3905</v>
      </c>
      <c r="C33" s="179" t="s">
        <v>3795</v>
      </c>
      <c r="D33" s="180" t="s">
        <v>3908</v>
      </c>
      <c r="E33" s="180"/>
      <c r="F33" s="181">
        <f t="shared" si="4"/>
        <v>540</v>
      </c>
      <c r="G33" s="182">
        <v>55.29</v>
      </c>
      <c r="H33" s="182">
        <f t="shared" si="0"/>
        <v>0</v>
      </c>
      <c r="I33" s="195"/>
      <c r="J33" s="184"/>
      <c r="K33" s="162"/>
      <c r="L33" s="176"/>
      <c r="AA33" s="165">
        <f t="shared" si="9"/>
        <v>22</v>
      </c>
      <c r="AB33" s="166" t="s">
        <v>3874</v>
      </c>
      <c r="AC33" s="128" t="s">
        <v>3909</v>
      </c>
      <c r="AD33" s="129" t="s">
        <v>3901</v>
      </c>
      <c r="AE33" s="167" t="s">
        <v>3840</v>
      </c>
      <c r="AF33" s="168">
        <v>3</v>
      </c>
      <c r="AG33" s="169">
        <v>13</v>
      </c>
      <c r="AH33" s="169">
        <f t="shared" si="5"/>
        <v>39</v>
      </c>
      <c r="AI33" s="170">
        <v>4500</v>
      </c>
      <c r="AJ33" s="170">
        <f t="shared" si="6"/>
        <v>175500</v>
      </c>
      <c r="AK33" s="175"/>
      <c r="AL33" s="172"/>
    </row>
    <row r="34" spans="1:38" outlineLevel="1">
      <c r="A34" s="154">
        <v>33</v>
      </c>
      <c r="B34" s="155" t="s">
        <v>3910</v>
      </c>
      <c r="C34" s="156" t="s">
        <v>3790</v>
      </c>
      <c r="D34" s="158">
        <v>0</v>
      </c>
      <c r="E34" s="158">
        <v>1</v>
      </c>
      <c r="F34" s="159">
        <f t="shared" si="4"/>
        <v>540</v>
      </c>
      <c r="G34" s="160">
        <v>78.09</v>
      </c>
      <c r="H34" s="160">
        <f t="shared" si="0"/>
        <v>42168.6</v>
      </c>
      <c r="I34" s="194"/>
      <c r="J34" s="161"/>
      <c r="K34" s="162"/>
      <c r="L34" s="176"/>
      <c r="AA34" s="165">
        <f t="shared" si="9"/>
        <v>23</v>
      </c>
      <c r="AB34" s="166" t="s">
        <v>3874</v>
      </c>
      <c r="AC34" s="128" t="s">
        <v>3911</v>
      </c>
      <c r="AD34" s="129" t="s">
        <v>3901</v>
      </c>
      <c r="AE34" s="167" t="s">
        <v>3840</v>
      </c>
      <c r="AF34" s="168">
        <v>1</v>
      </c>
      <c r="AG34" s="169">
        <v>12</v>
      </c>
      <c r="AH34" s="169">
        <f t="shared" si="5"/>
        <v>12</v>
      </c>
      <c r="AI34" s="170">
        <v>5500</v>
      </c>
      <c r="AJ34" s="170">
        <f t="shared" si="6"/>
        <v>66000</v>
      </c>
      <c r="AK34" s="175"/>
      <c r="AL34" s="172"/>
    </row>
    <row r="35" spans="1:38" ht="38.25" outlineLevel="1">
      <c r="A35" s="165">
        <v>126</v>
      </c>
      <c r="B35" s="166" t="s">
        <v>3912</v>
      </c>
      <c r="C35" s="173" t="s">
        <v>3790</v>
      </c>
      <c r="D35" s="168" t="s">
        <v>3913</v>
      </c>
      <c r="E35" s="168">
        <v>1</v>
      </c>
      <c r="F35" s="169">
        <f t="shared" si="4"/>
        <v>540</v>
      </c>
      <c r="G35" s="174">
        <v>50.08</v>
      </c>
      <c r="H35" s="174">
        <f t="shared" si="0"/>
        <v>27043.200000000001</v>
      </c>
      <c r="I35" s="175"/>
      <c r="J35" s="172"/>
      <c r="K35" s="162"/>
      <c r="L35" s="176"/>
      <c r="AA35" s="165">
        <f t="shared" si="9"/>
        <v>24</v>
      </c>
      <c r="AB35" s="166" t="s">
        <v>3874</v>
      </c>
      <c r="AC35" s="128" t="s">
        <v>3914</v>
      </c>
      <c r="AD35" s="129" t="s">
        <v>3901</v>
      </c>
      <c r="AE35" s="167" t="s">
        <v>3840</v>
      </c>
      <c r="AF35" s="168">
        <v>1</v>
      </c>
      <c r="AG35" s="169">
        <v>7</v>
      </c>
      <c r="AH35" s="169">
        <f t="shared" si="5"/>
        <v>7</v>
      </c>
      <c r="AI35" s="170">
        <v>5500</v>
      </c>
      <c r="AJ35" s="170">
        <f t="shared" si="6"/>
        <v>38500</v>
      </c>
      <c r="AK35" s="175"/>
      <c r="AL35" s="172"/>
    </row>
    <row r="36" spans="1:38" ht="51" outlineLevel="1">
      <c r="A36" s="165">
        <v>26</v>
      </c>
      <c r="B36" s="166" t="s">
        <v>3857</v>
      </c>
      <c r="C36" s="173" t="s">
        <v>3790</v>
      </c>
      <c r="D36" s="168" t="s">
        <v>3915</v>
      </c>
      <c r="E36" s="168">
        <v>1</v>
      </c>
      <c r="F36" s="169">
        <f t="shared" si="4"/>
        <v>540</v>
      </c>
      <c r="G36" s="174">
        <v>55.29</v>
      </c>
      <c r="H36" s="174">
        <f t="shared" si="0"/>
        <v>29856.6</v>
      </c>
      <c r="I36" s="175"/>
      <c r="J36" s="172"/>
      <c r="K36" s="162"/>
      <c r="L36" s="176"/>
      <c r="AA36" s="165">
        <f t="shared" si="9"/>
        <v>25</v>
      </c>
      <c r="AB36" s="166" t="s">
        <v>3874</v>
      </c>
      <c r="AC36" s="128" t="s">
        <v>3916</v>
      </c>
      <c r="AD36" s="129" t="s">
        <v>3901</v>
      </c>
      <c r="AE36" s="167" t="s">
        <v>3840</v>
      </c>
      <c r="AF36" s="168">
        <v>1</v>
      </c>
      <c r="AG36" s="169">
        <v>15</v>
      </c>
      <c r="AH36" s="169">
        <f t="shared" si="5"/>
        <v>15</v>
      </c>
      <c r="AI36" s="170">
        <v>4500</v>
      </c>
      <c r="AJ36" s="170">
        <f t="shared" si="6"/>
        <v>67500</v>
      </c>
      <c r="AK36" s="175"/>
      <c r="AL36" s="172"/>
    </row>
    <row r="37" spans="1:38" ht="38.25" outlineLevel="1">
      <c r="A37" s="165">
        <v>126</v>
      </c>
      <c r="B37" s="166" t="s">
        <v>3912</v>
      </c>
      <c r="C37" s="173" t="s">
        <v>3790</v>
      </c>
      <c r="D37" s="168" t="s">
        <v>3917</v>
      </c>
      <c r="E37" s="168">
        <v>1</v>
      </c>
      <c r="F37" s="190">
        <f t="shared" si="4"/>
        <v>540</v>
      </c>
      <c r="G37" s="174">
        <v>50.08</v>
      </c>
      <c r="H37" s="174">
        <f t="shared" si="0"/>
        <v>27043.200000000001</v>
      </c>
      <c r="I37" s="175"/>
      <c r="J37" s="172"/>
      <c r="K37" s="162"/>
      <c r="L37" s="176"/>
      <c r="AA37" s="165">
        <f t="shared" si="9"/>
        <v>26</v>
      </c>
      <c r="AB37" s="166" t="s">
        <v>3918</v>
      </c>
      <c r="AC37" s="128" t="s">
        <v>3919</v>
      </c>
      <c r="AD37" s="129" t="s">
        <v>3901</v>
      </c>
      <c r="AE37" s="196" t="s">
        <v>3840</v>
      </c>
      <c r="AF37" s="168">
        <v>2</v>
      </c>
      <c r="AG37" s="169">
        <v>15</v>
      </c>
      <c r="AH37" s="169">
        <f t="shared" si="5"/>
        <v>30</v>
      </c>
      <c r="AI37" s="170">
        <v>4000</v>
      </c>
      <c r="AJ37" s="170">
        <f t="shared" si="6"/>
        <v>120000</v>
      </c>
      <c r="AK37" s="175"/>
      <c r="AL37" s="172"/>
    </row>
    <row r="38" spans="1:38" ht="25.5" outlineLevel="1">
      <c r="A38" s="165">
        <v>96</v>
      </c>
      <c r="B38" s="166" t="s">
        <v>3920</v>
      </c>
      <c r="C38" s="173" t="s">
        <v>3795</v>
      </c>
      <c r="D38" s="168" t="s">
        <v>3921</v>
      </c>
      <c r="E38" s="168"/>
      <c r="F38" s="190">
        <f t="shared" si="4"/>
        <v>540</v>
      </c>
      <c r="G38" s="174">
        <v>119.54</v>
      </c>
      <c r="H38" s="174">
        <f t="shared" si="0"/>
        <v>0</v>
      </c>
      <c r="I38" s="175"/>
      <c r="J38" s="172"/>
      <c r="K38" s="162"/>
      <c r="L38" s="176"/>
      <c r="AA38" s="165">
        <f t="shared" si="9"/>
        <v>27</v>
      </c>
      <c r="AB38" s="166" t="s">
        <v>3874</v>
      </c>
      <c r="AC38" s="128" t="s">
        <v>3922</v>
      </c>
      <c r="AD38" s="129" t="s">
        <v>3901</v>
      </c>
      <c r="AE38" s="196" t="s">
        <v>3840</v>
      </c>
      <c r="AF38" s="168">
        <v>1</v>
      </c>
      <c r="AG38" s="169">
        <v>10</v>
      </c>
      <c r="AH38" s="169">
        <f t="shared" si="5"/>
        <v>10</v>
      </c>
      <c r="AI38" s="170">
        <v>3500</v>
      </c>
      <c r="AJ38" s="170">
        <f t="shared" si="6"/>
        <v>35000</v>
      </c>
      <c r="AK38" s="175"/>
      <c r="AL38" s="172"/>
    </row>
    <row r="39" spans="1:38" ht="25.5" outlineLevel="1">
      <c r="A39" s="165">
        <v>98</v>
      </c>
      <c r="B39" s="166" t="s">
        <v>3923</v>
      </c>
      <c r="C39" s="173" t="s">
        <v>3795</v>
      </c>
      <c r="D39" s="168" t="s">
        <v>3924</v>
      </c>
      <c r="E39" s="168"/>
      <c r="F39" s="190">
        <f t="shared" si="4"/>
        <v>540</v>
      </c>
      <c r="G39" s="174">
        <v>66.19</v>
      </c>
      <c r="H39" s="174">
        <f t="shared" si="0"/>
        <v>0</v>
      </c>
      <c r="I39" s="175"/>
      <c r="J39" s="172"/>
      <c r="K39" s="162"/>
      <c r="L39" s="176"/>
      <c r="AA39" s="165">
        <f t="shared" si="9"/>
        <v>28</v>
      </c>
      <c r="AB39" s="166" t="s">
        <v>3925</v>
      </c>
      <c r="AC39" s="128" t="s">
        <v>3926</v>
      </c>
      <c r="AD39" s="129" t="s">
        <v>3901</v>
      </c>
      <c r="AE39" s="196" t="s">
        <v>3840</v>
      </c>
      <c r="AF39" s="168">
        <v>2</v>
      </c>
      <c r="AG39" s="169">
        <v>15</v>
      </c>
      <c r="AH39" s="169">
        <f t="shared" si="5"/>
        <v>30</v>
      </c>
      <c r="AI39" s="170">
        <v>4500</v>
      </c>
      <c r="AJ39" s="170">
        <f t="shared" si="6"/>
        <v>135000</v>
      </c>
      <c r="AK39" s="175"/>
      <c r="AL39" s="172"/>
    </row>
    <row r="40" spans="1:38" ht="25.5" outlineLevel="1">
      <c r="A40" s="165">
        <v>99</v>
      </c>
      <c r="B40" s="166" t="s">
        <v>3927</v>
      </c>
      <c r="C40" s="173" t="s">
        <v>3795</v>
      </c>
      <c r="D40" s="168" t="s">
        <v>3928</v>
      </c>
      <c r="E40" s="168"/>
      <c r="F40" s="190">
        <f t="shared" si="4"/>
        <v>540</v>
      </c>
      <c r="G40" s="174">
        <v>55.46</v>
      </c>
      <c r="H40" s="174">
        <f t="shared" si="0"/>
        <v>0</v>
      </c>
      <c r="I40" s="175"/>
      <c r="J40" s="172"/>
      <c r="K40" s="162"/>
      <c r="L40" s="176"/>
      <c r="AA40" s="165">
        <f t="shared" si="9"/>
        <v>29</v>
      </c>
      <c r="AB40" s="166" t="s">
        <v>3874</v>
      </c>
      <c r="AC40" s="128" t="s">
        <v>3929</v>
      </c>
      <c r="AD40" s="129" t="s">
        <v>3901</v>
      </c>
      <c r="AE40" s="196" t="s">
        <v>3840</v>
      </c>
      <c r="AF40" s="168">
        <v>2</v>
      </c>
      <c r="AG40" s="169">
        <v>14</v>
      </c>
      <c r="AH40" s="169">
        <f t="shared" si="5"/>
        <v>28</v>
      </c>
      <c r="AI40" s="170">
        <v>3500</v>
      </c>
      <c r="AJ40" s="170">
        <f t="shared" si="6"/>
        <v>98000</v>
      </c>
      <c r="AK40" s="175"/>
      <c r="AL40" s="172"/>
    </row>
    <row r="41" spans="1:38" ht="38.25" outlineLevel="1">
      <c r="A41" s="165">
        <v>126</v>
      </c>
      <c r="B41" s="166" t="s">
        <v>3912</v>
      </c>
      <c r="C41" s="173" t="s">
        <v>3795</v>
      </c>
      <c r="D41" s="168" t="s">
        <v>3930</v>
      </c>
      <c r="E41" s="168">
        <v>1</v>
      </c>
      <c r="F41" s="190">
        <f t="shared" si="4"/>
        <v>540</v>
      </c>
      <c r="G41" s="174">
        <v>50.08</v>
      </c>
      <c r="H41" s="174">
        <f t="shared" si="0"/>
        <v>27043.200000000001</v>
      </c>
      <c r="I41" s="175"/>
      <c r="J41" s="172"/>
      <c r="K41" s="162">
        <f t="shared" ref="K41:K46" si="10">H20*3.84/18/1.49</f>
        <v>4274.7704697986574</v>
      </c>
      <c r="L41" s="176">
        <f t="shared" ref="L41:L49" si="11">ROUND((+K41/E20),2)</f>
        <v>4274.7700000000004</v>
      </c>
      <c r="S41" s="126" t="s">
        <v>3873</v>
      </c>
      <c r="AA41" s="165">
        <f t="shared" si="9"/>
        <v>30</v>
      </c>
      <c r="AB41" s="197"/>
      <c r="AF41" s="195"/>
      <c r="AG41" s="195"/>
      <c r="AH41" s="195"/>
      <c r="AI41" s="195"/>
      <c r="AJ41" s="195"/>
      <c r="AK41" s="195"/>
      <c r="AL41" s="195"/>
    </row>
    <row r="42" spans="1:38" ht="25.5" outlineLevel="1">
      <c r="A42" s="177">
        <v>102</v>
      </c>
      <c r="B42" s="178" t="s">
        <v>3931</v>
      </c>
      <c r="C42" s="179" t="s">
        <v>3795</v>
      </c>
      <c r="D42" s="180">
        <v>0</v>
      </c>
      <c r="E42" s="180"/>
      <c r="F42" s="181">
        <f t="shared" si="4"/>
        <v>540</v>
      </c>
      <c r="G42" s="182">
        <v>63.85</v>
      </c>
      <c r="H42" s="182">
        <f t="shared" si="0"/>
        <v>0</v>
      </c>
      <c r="I42" s="195"/>
      <c r="J42" s="184"/>
      <c r="K42" s="162">
        <f t="shared" si="10"/>
        <v>8525.5731543624152</v>
      </c>
      <c r="L42" s="162">
        <f t="shared" si="11"/>
        <v>8525.57</v>
      </c>
      <c r="AA42" s="165">
        <v>0</v>
      </c>
      <c r="AB42" s="192" t="s">
        <v>3932</v>
      </c>
      <c r="AC42" s="198"/>
      <c r="AD42" s="163"/>
      <c r="AE42" s="164"/>
      <c r="AF42" s="158"/>
      <c r="AG42" s="159">
        <f>IF(AE42="T",$T$2,IF(AE42="W",$T$4,IF(AE42="C",$T$5,IF(AE42="M",$T$6,IF(AE42="E",$R$10,0)))))</f>
        <v>0</v>
      </c>
      <c r="AH42" s="159"/>
      <c r="AI42" s="199"/>
      <c r="AJ42" s="199">
        <f>AF42*AG42*AI42*IF(AL42&gt;0,AL42,1)</f>
        <v>0</v>
      </c>
      <c r="AK42" s="194"/>
      <c r="AL42" s="161"/>
    </row>
    <row r="43" spans="1:38" ht="25.5" outlineLevel="1">
      <c r="A43" s="154">
        <v>115</v>
      </c>
      <c r="B43" s="155" t="s">
        <v>3933</v>
      </c>
      <c r="C43" s="156" t="s">
        <v>3790</v>
      </c>
      <c r="D43" s="158" t="s">
        <v>3934</v>
      </c>
      <c r="E43" s="158">
        <f>E54</f>
        <v>3</v>
      </c>
      <c r="F43" s="159">
        <f t="shared" si="4"/>
        <v>540</v>
      </c>
      <c r="G43" s="160">
        <v>48.06</v>
      </c>
      <c r="H43" s="160">
        <f t="shared" si="0"/>
        <v>77857.2</v>
      </c>
      <c r="I43" s="194"/>
      <c r="J43" s="161"/>
      <c r="K43" s="162">
        <f t="shared" si="10"/>
        <v>6659.9516778523484</v>
      </c>
      <c r="L43" s="162">
        <f t="shared" si="11"/>
        <v>6659.95</v>
      </c>
      <c r="M43" s="516">
        <f>SUM(L43:L45)/3</f>
        <v>5622.8966666666665</v>
      </c>
      <c r="AA43" s="165">
        <f>+AA41+1</f>
        <v>31</v>
      </c>
      <c r="AB43" s="166" t="s">
        <v>3935</v>
      </c>
      <c r="AC43" s="128" t="s">
        <v>3936</v>
      </c>
      <c r="AD43" s="129" t="s">
        <v>3796</v>
      </c>
      <c r="AE43" s="167" t="s">
        <v>3827</v>
      </c>
      <c r="AF43" s="168">
        <v>1</v>
      </c>
      <c r="AG43" s="169">
        <v>16</v>
      </c>
      <c r="AH43" s="169">
        <f t="shared" ref="AH43:AH51" si="12">AG43*AF43</f>
        <v>16</v>
      </c>
      <c r="AI43" s="170">
        <v>5500</v>
      </c>
      <c r="AJ43" s="170">
        <f t="shared" ref="AJ43:AJ51" si="13">AI43*AG43*AF43</f>
        <v>88000</v>
      </c>
      <c r="AK43" s="175"/>
      <c r="AL43" s="172"/>
    </row>
    <row r="44" spans="1:38" ht="25.5" outlineLevel="1">
      <c r="A44" s="165">
        <v>114</v>
      </c>
      <c r="B44" s="166" t="s">
        <v>3937</v>
      </c>
      <c r="C44" s="173" t="s">
        <v>3795</v>
      </c>
      <c r="D44" s="168" t="s">
        <v>3938</v>
      </c>
      <c r="E44" s="168">
        <f>E57+E58</f>
        <v>0</v>
      </c>
      <c r="F44" s="169">
        <f t="shared" si="4"/>
        <v>540</v>
      </c>
      <c r="G44" s="174">
        <v>63.85</v>
      </c>
      <c r="H44" s="174">
        <f t="shared" si="0"/>
        <v>0</v>
      </c>
      <c r="I44" s="175" t="s">
        <v>3939</v>
      </c>
      <c r="J44" s="172"/>
      <c r="K44" s="162">
        <f t="shared" si="10"/>
        <v>5104.3651006711407</v>
      </c>
      <c r="L44" s="162">
        <f t="shared" si="11"/>
        <v>5104.37</v>
      </c>
      <c r="M44" s="517"/>
      <c r="AA44" s="165">
        <f>+AA43+1</f>
        <v>32</v>
      </c>
      <c r="AB44" s="166" t="s">
        <v>3874</v>
      </c>
      <c r="AC44" s="135" t="s">
        <v>3940</v>
      </c>
      <c r="AD44" s="129" t="s">
        <v>3796</v>
      </c>
      <c r="AE44" s="167" t="s">
        <v>3840</v>
      </c>
      <c r="AF44" s="168">
        <v>1</v>
      </c>
      <c r="AG44" s="190">
        <v>13</v>
      </c>
      <c r="AH44" s="169">
        <f t="shared" si="12"/>
        <v>13</v>
      </c>
      <c r="AI44" s="170">
        <v>2500</v>
      </c>
      <c r="AJ44" s="170">
        <f t="shared" si="13"/>
        <v>32500</v>
      </c>
      <c r="AK44" s="175"/>
      <c r="AL44" s="172"/>
    </row>
    <row r="45" spans="1:38" ht="25.5" outlineLevel="1">
      <c r="A45" s="165">
        <v>108</v>
      </c>
      <c r="B45" s="166" t="s">
        <v>3941</v>
      </c>
      <c r="C45" s="173" t="s">
        <v>3790</v>
      </c>
      <c r="D45" s="168" t="s">
        <v>3942</v>
      </c>
      <c r="E45" s="168"/>
      <c r="F45" s="169">
        <f t="shared" si="4"/>
        <v>540</v>
      </c>
      <c r="G45" s="174">
        <v>62.58</v>
      </c>
      <c r="H45" s="174">
        <f t="shared" si="0"/>
        <v>0</v>
      </c>
      <c r="I45" s="175"/>
      <c r="J45" s="172"/>
      <c r="K45" s="162">
        <f t="shared" si="10"/>
        <v>5104.3651006711407</v>
      </c>
      <c r="L45" s="162">
        <f t="shared" si="11"/>
        <v>5104.37</v>
      </c>
      <c r="M45" s="517"/>
      <c r="Q45" s="162"/>
      <c r="R45" s="200"/>
      <c r="AA45" s="165">
        <f t="shared" ref="AA45:AA49" si="14">+AA44+1</f>
        <v>33</v>
      </c>
      <c r="AB45" s="166" t="s">
        <v>3874</v>
      </c>
      <c r="AC45" s="128" t="s">
        <v>3943</v>
      </c>
      <c r="AD45" s="129" t="s">
        <v>3796</v>
      </c>
      <c r="AE45" s="167" t="s">
        <v>3840</v>
      </c>
      <c r="AF45" s="168">
        <v>1</v>
      </c>
      <c r="AG45" s="190">
        <v>13</v>
      </c>
      <c r="AH45" s="169">
        <f t="shared" si="12"/>
        <v>13</v>
      </c>
      <c r="AI45" s="170">
        <v>3500</v>
      </c>
      <c r="AJ45" s="170">
        <f t="shared" si="13"/>
        <v>45500</v>
      </c>
      <c r="AK45" s="175"/>
      <c r="AL45" s="172"/>
    </row>
    <row r="46" spans="1:38" ht="25.5" outlineLevel="1">
      <c r="A46" s="165">
        <v>111</v>
      </c>
      <c r="B46" s="166" t="s">
        <v>3944</v>
      </c>
      <c r="C46" s="173" t="s">
        <v>3790</v>
      </c>
      <c r="D46" s="168" t="s">
        <v>3945</v>
      </c>
      <c r="E46" s="168">
        <f>E60</f>
        <v>1</v>
      </c>
      <c r="F46" s="169">
        <f t="shared" si="4"/>
        <v>540</v>
      </c>
      <c r="G46" s="174">
        <v>63.85</v>
      </c>
      <c r="H46" s="174">
        <f t="shared" si="0"/>
        <v>34479</v>
      </c>
      <c r="I46" s="175"/>
      <c r="J46" s="172"/>
      <c r="K46" s="162">
        <f t="shared" si="10"/>
        <v>9316.5100671140935</v>
      </c>
      <c r="L46" s="176">
        <f t="shared" si="11"/>
        <v>4658.26</v>
      </c>
      <c r="AA46" s="165">
        <f t="shared" si="14"/>
        <v>34</v>
      </c>
      <c r="AB46" s="166" t="s">
        <v>3874</v>
      </c>
      <c r="AC46" s="128" t="s">
        <v>3946</v>
      </c>
      <c r="AD46" s="129" t="s">
        <v>3796</v>
      </c>
      <c r="AE46" s="167" t="s">
        <v>3840</v>
      </c>
      <c r="AF46" s="168">
        <v>1</v>
      </c>
      <c r="AG46" s="190">
        <v>9</v>
      </c>
      <c r="AH46" s="169">
        <f t="shared" si="12"/>
        <v>9</v>
      </c>
      <c r="AI46" s="170">
        <v>3100</v>
      </c>
      <c r="AJ46" s="170">
        <f t="shared" si="13"/>
        <v>27900</v>
      </c>
      <c r="AK46" s="175"/>
      <c r="AL46" s="172"/>
    </row>
    <row r="47" spans="1:38" ht="25.5" outlineLevel="1">
      <c r="A47" s="165">
        <v>124</v>
      </c>
      <c r="B47" s="166" t="s">
        <v>3947</v>
      </c>
      <c r="C47" s="173" t="s">
        <v>3795</v>
      </c>
      <c r="D47" s="168" t="s">
        <v>3948</v>
      </c>
      <c r="E47" s="168">
        <f>E49+E46</f>
        <v>1</v>
      </c>
      <c r="F47" s="169">
        <f t="shared" si="4"/>
        <v>540</v>
      </c>
      <c r="G47" s="174">
        <v>48.06</v>
      </c>
      <c r="H47" s="174">
        <f t="shared" si="0"/>
        <v>25952.400000000001</v>
      </c>
      <c r="I47" s="175"/>
      <c r="J47" s="172"/>
      <c r="K47" s="162"/>
      <c r="L47" s="162" t="e">
        <f t="shared" si="11"/>
        <v>#DIV/0!</v>
      </c>
      <c r="AA47" s="165">
        <f t="shared" si="14"/>
        <v>35</v>
      </c>
      <c r="AB47" s="166" t="s">
        <v>3874</v>
      </c>
      <c r="AC47" s="140" t="s">
        <v>3949</v>
      </c>
      <c r="AD47" s="129" t="s">
        <v>3796</v>
      </c>
      <c r="AE47" s="167" t="s">
        <v>3840</v>
      </c>
      <c r="AF47" s="168">
        <v>1</v>
      </c>
      <c r="AG47" s="190">
        <v>13</v>
      </c>
      <c r="AH47" s="169">
        <f t="shared" si="12"/>
        <v>13</v>
      </c>
      <c r="AI47" s="170">
        <v>2500</v>
      </c>
      <c r="AJ47" s="170">
        <f t="shared" si="13"/>
        <v>32500</v>
      </c>
      <c r="AK47" s="175"/>
      <c r="AL47" s="172"/>
    </row>
    <row r="48" spans="1:38" ht="38.25" outlineLevel="1">
      <c r="A48" s="165">
        <v>83</v>
      </c>
      <c r="B48" s="166" t="s">
        <v>3950</v>
      </c>
      <c r="C48" s="173" t="s">
        <v>3795</v>
      </c>
      <c r="D48" s="168" t="s">
        <v>3951</v>
      </c>
      <c r="E48" s="168"/>
      <c r="F48" s="169">
        <f t="shared" si="4"/>
        <v>540</v>
      </c>
      <c r="G48" s="174">
        <v>50.08</v>
      </c>
      <c r="H48" s="174">
        <f t="shared" si="0"/>
        <v>0</v>
      </c>
      <c r="I48" s="175"/>
      <c r="J48" s="172"/>
      <c r="K48" s="162">
        <f>H27*3.84/18/1.49</f>
        <v>4274.7704697986574</v>
      </c>
      <c r="L48" s="176">
        <f t="shared" si="11"/>
        <v>4274.7700000000004</v>
      </c>
      <c r="AA48" s="165">
        <f t="shared" si="14"/>
        <v>36</v>
      </c>
      <c r="AB48" s="166" t="s">
        <v>3874</v>
      </c>
      <c r="AC48" s="128" t="s">
        <v>3952</v>
      </c>
      <c r="AD48" s="129" t="s">
        <v>3796</v>
      </c>
      <c r="AE48" s="167" t="s">
        <v>3840</v>
      </c>
      <c r="AF48" s="168">
        <v>5</v>
      </c>
      <c r="AG48" s="190">
        <v>14</v>
      </c>
      <c r="AH48" s="169">
        <f t="shared" si="12"/>
        <v>70</v>
      </c>
      <c r="AI48" s="170">
        <v>3200</v>
      </c>
      <c r="AJ48" s="170">
        <f t="shared" si="13"/>
        <v>224000</v>
      </c>
      <c r="AK48" s="175"/>
      <c r="AL48" s="172"/>
    </row>
    <row r="49" spans="1:38" ht="25.5" outlineLevel="1">
      <c r="A49" s="165">
        <v>105</v>
      </c>
      <c r="B49" s="166" t="s">
        <v>3953</v>
      </c>
      <c r="C49" s="173" t="s">
        <v>3795</v>
      </c>
      <c r="D49" s="168" t="s">
        <v>3954</v>
      </c>
      <c r="E49" s="168"/>
      <c r="F49" s="169">
        <f t="shared" si="4"/>
        <v>540</v>
      </c>
      <c r="G49" s="174">
        <v>81.23</v>
      </c>
      <c r="H49" s="174">
        <f>E49*F49*G49</f>
        <v>0</v>
      </c>
      <c r="I49" s="175"/>
      <c r="J49" s="191"/>
      <c r="K49" s="162"/>
      <c r="L49" s="162" t="e">
        <f t="shared" si="11"/>
        <v>#DIV/0!</v>
      </c>
      <c r="AA49" s="165">
        <f t="shared" si="14"/>
        <v>37</v>
      </c>
      <c r="AB49" s="166" t="s">
        <v>3874</v>
      </c>
      <c r="AC49" s="128" t="s">
        <v>3955</v>
      </c>
      <c r="AD49" s="129" t="s">
        <v>3796</v>
      </c>
      <c r="AE49" s="167" t="s">
        <v>3840</v>
      </c>
      <c r="AF49" s="168">
        <v>1</v>
      </c>
      <c r="AG49" s="169">
        <v>15</v>
      </c>
      <c r="AH49" s="169">
        <f t="shared" si="12"/>
        <v>15</v>
      </c>
      <c r="AI49" s="170">
        <v>1800</v>
      </c>
      <c r="AJ49" s="170">
        <f t="shared" si="13"/>
        <v>27000</v>
      </c>
      <c r="AK49" s="175"/>
      <c r="AL49" s="172"/>
    </row>
    <row r="50" spans="1:38" ht="25.5" outlineLevel="1">
      <c r="A50" s="165"/>
      <c r="B50" s="166"/>
      <c r="C50" s="173"/>
      <c r="D50" s="168"/>
      <c r="E50" s="168"/>
      <c r="F50" s="169"/>
      <c r="G50" s="174"/>
      <c r="H50" s="174"/>
      <c r="I50" s="175"/>
      <c r="J50" s="191"/>
      <c r="K50" s="162"/>
      <c r="L50" s="162"/>
      <c r="AA50" s="165"/>
      <c r="AB50" s="166" t="s">
        <v>3874</v>
      </c>
      <c r="AC50" s="128" t="s">
        <v>3956</v>
      </c>
      <c r="AD50" s="129" t="s">
        <v>3796</v>
      </c>
      <c r="AE50" s="167" t="s">
        <v>3840</v>
      </c>
      <c r="AF50" s="168">
        <v>1</v>
      </c>
      <c r="AG50" s="169">
        <v>13</v>
      </c>
      <c r="AH50" s="169">
        <f t="shared" si="12"/>
        <v>13</v>
      </c>
      <c r="AI50" s="170">
        <v>6000</v>
      </c>
      <c r="AJ50" s="170">
        <f t="shared" si="13"/>
        <v>78000</v>
      </c>
      <c r="AK50" s="175"/>
      <c r="AL50" s="172"/>
    </row>
    <row r="51" spans="1:38" ht="25.5" outlineLevel="1">
      <c r="A51" s="165"/>
      <c r="B51" s="166"/>
      <c r="C51" s="173"/>
      <c r="D51" s="168"/>
      <c r="E51" s="168"/>
      <c r="F51" s="169"/>
      <c r="G51" s="174"/>
      <c r="H51" s="174"/>
      <c r="I51" s="175"/>
      <c r="J51" s="191"/>
      <c r="K51" s="162"/>
      <c r="L51" s="162"/>
      <c r="AA51" s="165"/>
      <c r="AB51" s="166" t="s">
        <v>3874</v>
      </c>
      <c r="AC51" s="128" t="s">
        <v>3957</v>
      </c>
      <c r="AD51" s="129" t="s">
        <v>3796</v>
      </c>
      <c r="AE51" s="167" t="s">
        <v>3840</v>
      </c>
      <c r="AF51" s="168">
        <v>4</v>
      </c>
      <c r="AG51" s="169">
        <v>15</v>
      </c>
      <c r="AH51" s="169">
        <f t="shared" si="12"/>
        <v>60</v>
      </c>
      <c r="AI51" s="170">
        <v>3500</v>
      </c>
      <c r="AJ51" s="170">
        <f t="shared" si="13"/>
        <v>210000</v>
      </c>
      <c r="AK51" s="175"/>
      <c r="AL51" s="172"/>
    </row>
    <row r="52" spans="1:38" outlineLevel="1">
      <c r="A52" s="165"/>
      <c r="B52" s="166">
        <v>0</v>
      </c>
      <c r="C52" s="201"/>
      <c r="D52" s="202" t="s">
        <v>3958</v>
      </c>
      <c r="E52" s="203">
        <f>E10+E11+E12+E14+E16+E17+E21+E22+E23+E24+E28+E29+E31+E32+E33+E26+E27+E36+E38+E34</f>
        <v>15</v>
      </c>
      <c r="F52" s="190"/>
      <c r="G52" s="204">
        <v>0</v>
      </c>
      <c r="H52" s="174">
        <f>E52*F52*G52</f>
        <v>0</v>
      </c>
      <c r="I52" s="175"/>
      <c r="J52" s="175"/>
      <c r="K52" s="162">
        <f>H29*3.84/18/1.49</f>
        <v>4707.0625503355704</v>
      </c>
      <c r="L52" s="162">
        <f>ROUND((+K52/E29),2)</f>
        <v>4707.0600000000004</v>
      </c>
      <c r="M52" s="429">
        <f>SUM(L52:L52)/3</f>
        <v>1569.0200000000002</v>
      </c>
      <c r="AA52" s="165"/>
      <c r="AB52" s="178"/>
      <c r="AC52" s="186"/>
      <c r="AD52" s="187"/>
      <c r="AE52" s="188"/>
      <c r="AF52" s="180"/>
      <c r="AG52" s="181">
        <f>IF(AE52="T",$T$2,IF(AE52="W",$T$4,IF(AE52="C",$T$5,IF(AE52="M",$T$6,IF(AE52="E",$R$10,0)))))</f>
        <v>0</v>
      </c>
      <c r="AH52" s="181"/>
      <c r="AI52" s="189"/>
      <c r="AJ52" s="189">
        <f>AF52*AG52*AI52*IF(AL52&gt;0,AL52,1)</f>
        <v>0</v>
      </c>
      <c r="AK52" s="195"/>
      <c r="AL52" s="184"/>
    </row>
    <row r="53" spans="1:38" ht="25.5">
      <c r="A53" s="145" t="s">
        <v>5</v>
      </c>
      <c r="B53" s="146" t="s">
        <v>3959</v>
      </c>
      <c r="C53" s="147"/>
      <c r="D53" s="145" t="s">
        <v>3960</v>
      </c>
      <c r="E53" s="145" t="s">
        <v>3802</v>
      </c>
      <c r="F53" s="145" t="s">
        <v>3803</v>
      </c>
      <c r="G53" s="145" t="s">
        <v>3804</v>
      </c>
      <c r="H53" s="145" t="s">
        <v>3805</v>
      </c>
      <c r="I53" s="149">
        <f>SUM(H54:H64)</f>
        <v>380737.94594594592</v>
      </c>
      <c r="J53" s="145"/>
      <c r="K53" s="205">
        <f>SUM(K11:K52)</f>
        <v>88402.190604026837</v>
      </c>
      <c r="AA53" s="145" t="s">
        <v>5</v>
      </c>
      <c r="AB53" s="401"/>
      <c r="AC53" s="151" t="s">
        <v>3959</v>
      </c>
      <c r="AD53" s="402"/>
      <c r="AE53" s="147"/>
      <c r="AF53" s="145" t="s">
        <v>3961</v>
      </c>
      <c r="AG53" s="152" t="s">
        <v>3813</v>
      </c>
      <c r="AH53" s="152" t="s">
        <v>3814</v>
      </c>
      <c r="AI53" s="145" t="s">
        <v>3804</v>
      </c>
      <c r="AJ53" s="145" t="s">
        <v>3805</v>
      </c>
      <c r="AK53" s="153">
        <f>SUM(AJ54:AJ64)</f>
        <v>576000</v>
      </c>
      <c r="AL53" s="145"/>
    </row>
    <row r="54" spans="1:38" ht="19.5" customHeight="1" outlineLevel="1">
      <c r="A54" s="165">
        <v>76</v>
      </c>
      <c r="B54" s="166" t="s">
        <v>3962</v>
      </c>
      <c r="C54" s="206" t="str">
        <f>C43</f>
        <v>T</v>
      </c>
      <c r="D54" s="168"/>
      <c r="E54" s="168">
        <v>3</v>
      </c>
      <c r="F54" s="169">
        <f t="shared" ref="F54:F63" si="15">IF(C54="T",$T$2,IF(C54="W",$T$4,IF(C54="C",$T$5,IF(C54="M",$T$6,IF(C54="E",$R$10,0)))))</f>
        <v>540</v>
      </c>
      <c r="G54" s="174">
        <v>132.29189189189188</v>
      </c>
      <c r="H54" s="174">
        <f>E54*F54*G54*IF(J54&gt;0,J54,1)</f>
        <v>214312.86486486485</v>
      </c>
      <c r="I54" s="175"/>
      <c r="J54" s="207">
        <f>J43</f>
        <v>0</v>
      </c>
      <c r="M54" s="200"/>
      <c r="N54" s="200"/>
      <c r="O54" s="200"/>
      <c r="P54" s="200"/>
      <c r="AA54" s="165">
        <v>1</v>
      </c>
      <c r="AB54" s="518" t="s">
        <v>3963</v>
      </c>
      <c r="AC54" s="519"/>
      <c r="AD54" s="519"/>
      <c r="AE54" s="208"/>
      <c r="AF54" s="169" t="s">
        <v>3964</v>
      </c>
      <c r="AG54" s="169">
        <v>5</v>
      </c>
      <c r="AH54" s="169">
        <v>16</v>
      </c>
      <c r="AI54" s="170">
        <f>240*30</f>
        <v>7200</v>
      </c>
      <c r="AJ54" s="170">
        <f>AI54*AH54*AG54</f>
        <v>576000</v>
      </c>
      <c r="AK54" s="175"/>
      <c r="AL54" s="207"/>
    </row>
    <row r="55" spans="1:38" ht="12.6" customHeight="1" outlineLevel="1">
      <c r="A55" s="165">
        <v>52</v>
      </c>
      <c r="B55" s="209" t="s">
        <v>3965</v>
      </c>
      <c r="C55" s="206" t="str">
        <f>C45</f>
        <v>T</v>
      </c>
      <c r="D55" s="210"/>
      <c r="E55" s="168">
        <f>E45</f>
        <v>0</v>
      </c>
      <c r="F55" s="169">
        <f t="shared" si="15"/>
        <v>540</v>
      </c>
      <c r="G55" s="211">
        <v>429.3318798631733</v>
      </c>
      <c r="H55" s="211">
        <f>E55*F55*G55*IF(J55&gt;0,J55,1)</f>
        <v>0</v>
      </c>
      <c r="I55" s="212"/>
      <c r="J55" s="213">
        <f>J45</f>
        <v>0</v>
      </c>
      <c r="M55" s="200"/>
      <c r="N55" s="200"/>
      <c r="O55" s="200"/>
      <c r="P55" s="200"/>
      <c r="AA55" s="165">
        <f>+AA54+1</f>
        <v>2</v>
      </c>
      <c r="AB55" s="520"/>
      <c r="AC55" s="521"/>
      <c r="AD55" s="521"/>
      <c r="AE55" s="208"/>
      <c r="AF55" s="169"/>
      <c r="AG55" s="169"/>
      <c r="AH55" s="169"/>
      <c r="AI55" s="170"/>
      <c r="AJ55" s="170">
        <f>AI55*AH55*AG55</f>
        <v>0</v>
      </c>
      <c r="AK55" s="212"/>
      <c r="AL55" s="213"/>
    </row>
    <row r="56" spans="1:38" ht="12.6" customHeight="1" outlineLevel="1">
      <c r="A56" s="165">
        <v>72</v>
      </c>
      <c r="B56" s="166" t="s">
        <v>3966</v>
      </c>
      <c r="C56" s="206" t="str">
        <f>C44</f>
        <v>W</v>
      </c>
      <c r="D56" s="168"/>
      <c r="E56" s="168"/>
      <c r="F56" s="169">
        <f t="shared" si="15"/>
        <v>540</v>
      </c>
      <c r="G56" s="174">
        <v>210.48648648648648</v>
      </c>
      <c r="H56" s="174">
        <f>E56*F56*G56*IF(J56&gt;0,J56,1)</f>
        <v>0</v>
      </c>
      <c r="I56" s="175"/>
      <c r="J56" s="207"/>
      <c r="M56" s="200"/>
      <c r="N56" s="200"/>
      <c r="O56" s="200"/>
      <c r="P56" s="200"/>
      <c r="AA56" s="165">
        <f t="shared" ref="AA56:AA63" si="16">+AA55+1</f>
        <v>3</v>
      </c>
      <c r="AB56" s="166"/>
      <c r="AC56" s="128"/>
      <c r="AD56" s="129"/>
      <c r="AE56" s="208"/>
      <c r="AF56" s="169"/>
      <c r="AG56" s="169">
        <f t="shared" ref="AG56:AG63" si="17">IF(AE56="T",$T$2,IF(AE56="W",$T$4,IF(AE56="C",$T$5,IF(AE56="M",$T$6,IF(AE56="E",$R$10,0)))))</f>
        <v>0</v>
      </c>
      <c r="AH56" s="169"/>
      <c r="AI56" s="170"/>
      <c r="AJ56" s="170">
        <f t="shared" ref="AJ56:AJ64" si="18">AI56*AH56*AG56</f>
        <v>0</v>
      </c>
      <c r="AK56" s="175"/>
      <c r="AL56" s="207"/>
    </row>
    <row r="57" spans="1:38" ht="12.95" customHeight="1" outlineLevel="1">
      <c r="A57" s="165">
        <v>67</v>
      </c>
      <c r="B57" s="166" t="s">
        <v>3967</v>
      </c>
      <c r="C57" s="173" t="s">
        <v>3790</v>
      </c>
      <c r="D57" s="168"/>
      <c r="E57" s="168"/>
      <c r="F57" s="169">
        <f t="shared" si="15"/>
        <v>540</v>
      </c>
      <c r="G57" s="174">
        <v>408.59459459459458</v>
      </c>
      <c r="H57" s="174">
        <f>E57*F57*G57</f>
        <v>0</v>
      </c>
      <c r="I57" s="175"/>
      <c r="J57" s="207"/>
      <c r="M57" s="200"/>
      <c r="N57" s="200"/>
      <c r="O57" s="200"/>
      <c r="P57" s="200"/>
      <c r="AA57" s="165">
        <f t="shared" si="16"/>
        <v>4</v>
      </c>
      <c r="AB57" s="166"/>
      <c r="AC57" s="128"/>
      <c r="AD57" s="129"/>
      <c r="AE57" s="167"/>
      <c r="AF57" s="169"/>
      <c r="AG57" s="169">
        <f t="shared" si="17"/>
        <v>0</v>
      </c>
      <c r="AH57" s="169"/>
      <c r="AI57" s="170"/>
      <c r="AJ57" s="170">
        <f t="shared" si="18"/>
        <v>0</v>
      </c>
      <c r="AK57" s="175"/>
      <c r="AL57" s="207"/>
    </row>
    <row r="58" spans="1:38" ht="12.6" customHeight="1" outlineLevel="1">
      <c r="A58" s="165">
        <v>68</v>
      </c>
      <c r="B58" s="166" t="s">
        <v>3968</v>
      </c>
      <c r="C58" s="206" t="str">
        <f>C44</f>
        <v>W</v>
      </c>
      <c r="D58" s="168"/>
      <c r="E58" s="168"/>
      <c r="F58" s="169">
        <f t="shared" si="15"/>
        <v>540</v>
      </c>
      <c r="G58" s="174">
        <v>295.72972972972974</v>
      </c>
      <c r="H58" s="174">
        <f t="shared" ref="H58:H64" si="19">E58*F58*G58*IF(J58&gt;0,J58,1)</f>
        <v>0</v>
      </c>
      <c r="I58" s="175"/>
      <c r="J58" s="207"/>
      <c r="M58" s="200"/>
      <c r="N58" s="200"/>
      <c r="O58" s="200"/>
      <c r="P58" s="200"/>
      <c r="AA58" s="165">
        <f t="shared" si="16"/>
        <v>5</v>
      </c>
      <c r="AB58" s="166"/>
      <c r="AC58" s="128"/>
      <c r="AD58" s="129"/>
      <c r="AE58" s="208"/>
      <c r="AF58" s="169"/>
      <c r="AG58" s="169">
        <f t="shared" si="17"/>
        <v>0</v>
      </c>
      <c r="AH58" s="169"/>
      <c r="AI58" s="170"/>
      <c r="AJ58" s="170">
        <f t="shared" si="18"/>
        <v>0</v>
      </c>
      <c r="AK58" s="175"/>
      <c r="AL58" s="207"/>
    </row>
    <row r="59" spans="1:38" ht="12.95" customHeight="1" outlineLevel="1">
      <c r="A59" s="165">
        <v>66</v>
      </c>
      <c r="B59" s="166" t="s">
        <v>3969</v>
      </c>
      <c r="C59" s="173" t="s">
        <v>3790</v>
      </c>
      <c r="D59" s="168"/>
      <c r="E59" s="168">
        <v>0</v>
      </c>
      <c r="F59" s="169">
        <f t="shared" si="15"/>
        <v>540</v>
      </c>
      <c r="G59" s="174">
        <v>301.87567567567567</v>
      </c>
      <c r="H59" s="174">
        <f t="shared" si="19"/>
        <v>0</v>
      </c>
      <c r="I59" s="175"/>
      <c r="J59" s="207"/>
      <c r="M59" s="200"/>
      <c r="N59" s="200"/>
      <c r="O59" s="200"/>
      <c r="P59" s="200"/>
      <c r="AA59" s="165">
        <f t="shared" si="16"/>
        <v>6</v>
      </c>
      <c r="AB59" s="166"/>
      <c r="AC59" s="128"/>
      <c r="AD59" s="129"/>
      <c r="AE59" s="167"/>
      <c r="AF59" s="169"/>
      <c r="AG59" s="169">
        <f t="shared" si="17"/>
        <v>0</v>
      </c>
      <c r="AH59" s="169"/>
      <c r="AI59" s="170"/>
      <c r="AJ59" s="170">
        <f t="shared" si="18"/>
        <v>0</v>
      </c>
      <c r="AK59" s="175"/>
      <c r="AL59" s="207"/>
    </row>
    <row r="60" spans="1:38" ht="12.6" customHeight="1" outlineLevel="1">
      <c r="A60" s="165">
        <v>64</v>
      </c>
      <c r="B60" s="209" t="s">
        <v>3970</v>
      </c>
      <c r="C60" s="206" t="str">
        <f>C46</f>
        <v>T</v>
      </c>
      <c r="D60" s="210"/>
      <c r="E60" s="168">
        <v>1</v>
      </c>
      <c r="F60" s="169">
        <f t="shared" si="15"/>
        <v>540</v>
      </c>
      <c r="G60" s="211">
        <v>308.19459459459461</v>
      </c>
      <c r="H60" s="211">
        <f t="shared" si="19"/>
        <v>166425.08108108109</v>
      </c>
      <c r="I60" s="212"/>
      <c r="J60" s="213"/>
      <c r="M60" s="200"/>
      <c r="N60" s="200"/>
      <c r="O60" s="200"/>
      <c r="P60" s="200"/>
      <c r="AA60" s="165">
        <f t="shared" si="16"/>
        <v>7</v>
      </c>
      <c r="AB60" s="209"/>
      <c r="AC60" s="430"/>
      <c r="AD60" s="214"/>
      <c r="AE60" s="208"/>
      <c r="AF60" s="169"/>
      <c r="AG60" s="169">
        <f t="shared" si="17"/>
        <v>0</v>
      </c>
      <c r="AH60" s="169"/>
      <c r="AI60" s="170"/>
      <c r="AJ60" s="170">
        <f t="shared" si="18"/>
        <v>0</v>
      </c>
      <c r="AK60" s="212"/>
      <c r="AL60" s="213"/>
    </row>
    <row r="61" spans="1:38" ht="12.95" customHeight="1" outlineLevel="1">
      <c r="A61" s="165">
        <v>26</v>
      </c>
      <c r="B61" s="166" t="s">
        <v>3971</v>
      </c>
      <c r="C61" s="173" t="s">
        <v>3795</v>
      </c>
      <c r="D61" s="168"/>
      <c r="E61" s="168"/>
      <c r="F61" s="169">
        <f t="shared" si="15"/>
        <v>540</v>
      </c>
      <c r="G61" s="174">
        <v>446.11171171171168</v>
      </c>
      <c r="H61" s="174">
        <f t="shared" si="19"/>
        <v>0</v>
      </c>
      <c r="I61" s="175"/>
      <c r="J61" s="175"/>
      <c r="M61" s="200"/>
      <c r="N61" s="200"/>
      <c r="O61" s="200"/>
      <c r="P61" s="200"/>
      <c r="AA61" s="165">
        <f t="shared" si="16"/>
        <v>8</v>
      </c>
      <c r="AB61" s="166"/>
      <c r="AC61" s="128"/>
      <c r="AD61" s="129"/>
      <c r="AE61" s="167"/>
      <c r="AF61" s="169"/>
      <c r="AG61" s="169">
        <f t="shared" si="17"/>
        <v>0</v>
      </c>
      <c r="AH61" s="169"/>
      <c r="AI61" s="170"/>
      <c r="AJ61" s="170">
        <f t="shared" si="18"/>
        <v>0</v>
      </c>
      <c r="AK61" s="175"/>
      <c r="AL61" s="175"/>
    </row>
    <row r="62" spans="1:38" ht="12.6" customHeight="1" outlineLevel="1">
      <c r="A62" s="165">
        <v>73</v>
      </c>
      <c r="B62" s="166" t="s">
        <v>3972</v>
      </c>
      <c r="C62" s="206" t="str">
        <f>C44</f>
        <v>W</v>
      </c>
      <c r="D62" s="168"/>
      <c r="E62" s="168"/>
      <c r="F62" s="169">
        <f t="shared" si="15"/>
        <v>540</v>
      </c>
      <c r="G62" s="174">
        <v>325.26126126126121</v>
      </c>
      <c r="H62" s="174">
        <f t="shared" si="19"/>
        <v>0</v>
      </c>
      <c r="I62" s="175" t="s">
        <v>3973</v>
      </c>
      <c r="J62" s="175"/>
      <c r="M62" s="200"/>
      <c r="N62" s="200"/>
      <c r="O62" s="200"/>
      <c r="P62" s="200"/>
      <c r="AA62" s="165">
        <f t="shared" si="16"/>
        <v>9</v>
      </c>
      <c r="AB62" s="166"/>
      <c r="AC62" s="128"/>
      <c r="AD62" s="129"/>
      <c r="AE62" s="208"/>
      <c r="AF62" s="169"/>
      <c r="AG62" s="169">
        <f t="shared" si="17"/>
        <v>0</v>
      </c>
      <c r="AH62" s="169"/>
      <c r="AI62" s="170"/>
      <c r="AJ62" s="170">
        <f t="shared" si="18"/>
        <v>0</v>
      </c>
      <c r="AK62" s="175"/>
      <c r="AL62" s="175"/>
    </row>
    <row r="63" spans="1:38" ht="12.95" customHeight="1" outlineLevel="1">
      <c r="A63" s="165"/>
      <c r="B63" s="166">
        <v>0</v>
      </c>
      <c r="C63" s="173" t="s">
        <v>3795</v>
      </c>
      <c r="D63" s="168"/>
      <c r="E63" s="168"/>
      <c r="F63" s="169">
        <f t="shared" si="15"/>
        <v>540</v>
      </c>
      <c r="G63" s="174">
        <v>0</v>
      </c>
      <c r="H63" s="174">
        <f>E63*F63*G63*IF(J63&gt;0,J63,1)</f>
        <v>0</v>
      </c>
      <c r="I63" s="175"/>
      <c r="J63" s="175"/>
      <c r="M63" s="200"/>
      <c r="N63" s="200"/>
      <c r="O63" s="200"/>
      <c r="P63" s="200"/>
      <c r="AA63" s="165">
        <f t="shared" si="16"/>
        <v>10</v>
      </c>
      <c r="AB63" s="166">
        <v>0</v>
      </c>
      <c r="AC63" s="128"/>
      <c r="AD63" s="129"/>
      <c r="AE63" s="167"/>
      <c r="AF63" s="169"/>
      <c r="AG63" s="169">
        <f t="shared" si="17"/>
        <v>0</v>
      </c>
      <c r="AH63" s="169"/>
      <c r="AI63" s="170"/>
      <c r="AJ63" s="170">
        <f t="shared" si="18"/>
        <v>0</v>
      </c>
      <c r="AK63" s="175"/>
      <c r="AL63" s="175"/>
    </row>
    <row r="64" spans="1:38" ht="12.6" customHeight="1" outlineLevel="1">
      <c r="A64" s="165"/>
      <c r="B64" s="166">
        <v>0</v>
      </c>
      <c r="C64" s="215"/>
      <c r="D64" s="168"/>
      <c r="E64" s="168"/>
      <c r="F64" s="190"/>
      <c r="G64" s="174">
        <v>0</v>
      </c>
      <c r="H64" s="174">
        <f t="shared" si="19"/>
        <v>0</v>
      </c>
      <c r="I64" s="175"/>
      <c r="J64" s="175"/>
      <c r="L64" s="200"/>
      <c r="AA64" s="165"/>
      <c r="AB64" s="166">
        <v>0</v>
      </c>
      <c r="AC64" s="128"/>
      <c r="AD64" s="129"/>
      <c r="AE64" s="216"/>
      <c r="AF64" s="169"/>
      <c r="AG64" s="190"/>
      <c r="AH64" s="190"/>
      <c r="AI64" s="170"/>
      <c r="AJ64" s="170">
        <f t="shared" si="18"/>
        <v>0</v>
      </c>
      <c r="AK64" s="175"/>
      <c r="AL64" s="175"/>
    </row>
    <row r="65" spans="1:38" ht="25.5">
      <c r="A65" s="217" t="s">
        <v>5</v>
      </c>
      <c r="B65" s="218" t="s">
        <v>3974</v>
      </c>
      <c r="C65" s="219"/>
      <c r="D65" s="217"/>
      <c r="E65" s="217" t="s">
        <v>3802</v>
      </c>
      <c r="F65" s="217" t="s">
        <v>3975</v>
      </c>
      <c r="G65" s="220" t="s">
        <v>3804</v>
      </c>
      <c r="H65" s="220" t="s">
        <v>3805</v>
      </c>
      <c r="I65" s="221">
        <f>SUM(H66:H78)</f>
        <v>51212</v>
      </c>
      <c r="J65" s="217"/>
      <c r="L65" s="200"/>
      <c r="AA65" s="217" t="s">
        <v>5</v>
      </c>
      <c r="AB65" s="403"/>
      <c r="AC65" s="293" t="s">
        <v>3974</v>
      </c>
      <c r="AD65" s="404"/>
      <c r="AE65" s="219"/>
      <c r="AF65" s="217" t="s">
        <v>3961</v>
      </c>
      <c r="AG65" s="222" t="s">
        <v>3813</v>
      </c>
      <c r="AH65" s="222" t="s">
        <v>3814</v>
      </c>
      <c r="AI65" s="220" t="s">
        <v>3804</v>
      </c>
      <c r="AJ65" s="220" t="s">
        <v>3805</v>
      </c>
      <c r="AK65" s="223">
        <f ca="1">SUM(AJ66:AJ78)</f>
        <v>2758166.96</v>
      </c>
      <c r="AL65" s="217"/>
    </row>
    <row r="66" spans="1:38" ht="25.5" outlineLevel="1">
      <c r="A66" s="168">
        <v>1</v>
      </c>
      <c r="B66" s="166" t="s">
        <v>3976</v>
      </c>
      <c r="C66" s="215"/>
      <c r="D66" s="168"/>
      <c r="E66" s="168">
        <f>$U$4</f>
        <v>18</v>
      </c>
      <c r="F66" s="168" t="s">
        <v>3977</v>
      </c>
      <c r="G66" s="204">
        <v>1060</v>
      </c>
      <c r="H66" s="204">
        <f t="shared" ref="H66:H76" si="20">E66*G66</f>
        <v>19080</v>
      </c>
      <c r="I66" s="175"/>
      <c r="J66" s="175"/>
      <c r="L66" s="200"/>
      <c r="AA66" s="168">
        <v>1</v>
      </c>
      <c r="AB66" s="518" t="s">
        <v>3978</v>
      </c>
      <c r="AC66" s="519"/>
      <c r="AD66" s="519"/>
      <c r="AE66" s="216"/>
      <c r="AF66" s="168" t="s">
        <v>3964</v>
      </c>
      <c r="AG66" s="168">
        <v>5</v>
      </c>
      <c r="AH66" s="168">
        <v>16</v>
      </c>
      <c r="AI66" s="170">
        <f>(5*26*16.5)</f>
        <v>2145</v>
      </c>
      <c r="AJ66" s="170">
        <f t="shared" ref="AJ66:AJ74" si="21">AI66*AH66*AG66</f>
        <v>171600</v>
      </c>
      <c r="AK66" s="175"/>
      <c r="AL66" s="175"/>
    </row>
    <row r="67" spans="1:38" ht="12.6" customHeight="1" outlineLevel="1">
      <c r="A67" s="168">
        <f>A66+1</f>
        <v>2</v>
      </c>
      <c r="B67" s="166" t="s">
        <v>3979</v>
      </c>
      <c r="C67" s="215"/>
      <c r="D67" s="168"/>
      <c r="E67" s="168">
        <f>$U$4</f>
        <v>18</v>
      </c>
      <c r="F67" s="168" t="s">
        <v>3977</v>
      </c>
      <c r="G67" s="204">
        <v>424</v>
      </c>
      <c r="H67" s="204">
        <f t="shared" si="20"/>
        <v>7632</v>
      </c>
      <c r="I67" s="175"/>
      <c r="J67" s="175"/>
      <c r="L67" s="200"/>
      <c r="AA67" s="168">
        <f>AA66+1</f>
        <v>2</v>
      </c>
      <c r="AB67" s="514" t="s">
        <v>3980</v>
      </c>
      <c r="AC67" s="515"/>
      <c r="AD67" s="515"/>
      <c r="AE67" s="216"/>
      <c r="AF67" s="168" t="s">
        <v>3964</v>
      </c>
      <c r="AG67" s="168">
        <v>1</v>
      </c>
      <c r="AH67" s="168">
        <v>13</v>
      </c>
      <c r="AI67" s="170">
        <v>8000</v>
      </c>
      <c r="AJ67" s="170">
        <f t="shared" si="21"/>
        <v>104000</v>
      </c>
      <c r="AK67" s="175"/>
      <c r="AL67" s="175"/>
    </row>
    <row r="68" spans="1:38" ht="12.6" customHeight="1" outlineLevel="1">
      <c r="A68" s="168">
        <f t="shared" ref="A68:A76" si="22">A67+1</f>
        <v>3</v>
      </c>
      <c r="B68" s="166" t="s">
        <v>3981</v>
      </c>
      <c r="C68" s="215"/>
      <c r="D68" s="224">
        <v>212</v>
      </c>
      <c r="E68" s="168"/>
      <c r="F68" s="168" t="s">
        <v>3982</v>
      </c>
      <c r="G68" s="225">
        <f>75/[1]ID!$C$11</f>
        <v>20.27027027027027</v>
      </c>
      <c r="H68" s="204">
        <f>D68*E68*G68</f>
        <v>0</v>
      </c>
      <c r="I68" s="175"/>
      <c r="J68" s="175"/>
      <c r="L68" s="200"/>
      <c r="AA68" s="168">
        <f t="shared" ref="AA68:AA77" si="23">AA67+1</f>
        <v>3</v>
      </c>
      <c r="AB68" s="514" t="s">
        <v>3983</v>
      </c>
      <c r="AC68" s="515"/>
      <c r="AD68" s="515"/>
      <c r="AE68" s="216"/>
      <c r="AF68" s="168" t="s">
        <v>3964</v>
      </c>
      <c r="AG68" s="168">
        <v>2</v>
      </c>
      <c r="AH68" s="168">
        <v>14</v>
      </c>
      <c r="AI68" s="170">
        <v>4500</v>
      </c>
      <c r="AJ68" s="170">
        <f t="shared" si="21"/>
        <v>126000</v>
      </c>
      <c r="AK68" s="175"/>
      <c r="AL68" s="175"/>
    </row>
    <row r="69" spans="1:38" ht="25.5" outlineLevel="1">
      <c r="A69" s="168">
        <f t="shared" si="22"/>
        <v>4</v>
      </c>
      <c r="B69" s="166" t="s">
        <v>3984</v>
      </c>
      <c r="C69" s="215"/>
      <c r="D69" s="226"/>
      <c r="E69" s="168">
        <v>55454</v>
      </c>
      <c r="F69" s="168" t="s">
        <v>3985</v>
      </c>
      <c r="G69" s="174">
        <f>1.53*0</f>
        <v>0</v>
      </c>
      <c r="H69" s="174">
        <f t="shared" si="20"/>
        <v>0</v>
      </c>
      <c r="I69" s="175"/>
      <c r="J69" s="175"/>
      <c r="L69" s="200"/>
      <c r="AA69" s="168">
        <f t="shared" si="23"/>
        <v>4</v>
      </c>
      <c r="AB69" s="514" t="s">
        <v>3986</v>
      </c>
      <c r="AC69" s="515"/>
      <c r="AD69" s="515"/>
      <c r="AE69" s="216"/>
      <c r="AF69" s="168" t="s">
        <v>3987</v>
      </c>
      <c r="AG69" s="168">
        <v>1</v>
      </c>
      <c r="AH69" s="168">
        <v>16</v>
      </c>
      <c r="AI69" s="170">
        <f>450+1800</f>
        <v>2250</v>
      </c>
      <c r="AJ69" s="170">
        <f t="shared" si="21"/>
        <v>36000</v>
      </c>
      <c r="AK69" s="175"/>
      <c r="AL69" s="175"/>
    </row>
    <row r="70" spans="1:38" ht="12.6" customHeight="1" outlineLevel="1">
      <c r="A70" s="168">
        <f t="shared" si="22"/>
        <v>5</v>
      </c>
      <c r="B70" s="166" t="s">
        <v>3988</v>
      </c>
      <c r="C70" s="215"/>
      <c r="D70" s="226"/>
      <c r="E70" s="168">
        <f>D68*$U$4</f>
        <v>3816</v>
      </c>
      <c r="F70" s="168" t="s">
        <v>3989</v>
      </c>
      <c r="G70" s="174">
        <f>80/[1]ID!$C$11*0</f>
        <v>0</v>
      </c>
      <c r="H70" s="174">
        <f>E70*G70</f>
        <v>0</v>
      </c>
      <c r="I70" s="175" t="s">
        <v>3990</v>
      </c>
      <c r="J70" s="175"/>
      <c r="AA70" s="168">
        <f t="shared" si="23"/>
        <v>5</v>
      </c>
      <c r="AB70" s="514" t="s">
        <v>3991</v>
      </c>
      <c r="AC70" s="515"/>
      <c r="AD70" s="515"/>
      <c r="AE70" s="216"/>
      <c r="AF70" s="168" t="s">
        <v>3987</v>
      </c>
      <c r="AG70" s="168">
        <v>1</v>
      </c>
      <c r="AH70" s="168">
        <v>1</v>
      </c>
      <c r="AI70" s="170">
        <v>32375</v>
      </c>
      <c r="AJ70" s="170">
        <f t="shared" si="21"/>
        <v>32375</v>
      </c>
      <c r="AK70" s="175"/>
      <c r="AL70" s="175"/>
    </row>
    <row r="71" spans="1:38" ht="12.6" customHeight="1" outlineLevel="1">
      <c r="A71" s="168">
        <f t="shared" si="22"/>
        <v>6</v>
      </c>
      <c r="B71" s="166" t="s">
        <v>3992</v>
      </c>
      <c r="C71" s="215"/>
      <c r="D71" s="168"/>
      <c r="E71" s="168">
        <v>1</v>
      </c>
      <c r="F71" s="168" t="s">
        <v>1872</v>
      </c>
      <c r="G71" s="174">
        <v>6500</v>
      </c>
      <c r="H71" s="174">
        <f t="shared" si="20"/>
        <v>6500</v>
      </c>
      <c r="I71" s="175" t="s">
        <v>3993</v>
      </c>
      <c r="J71" s="175"/>
      <c r="AA71" s="168">
        <f t="shared" si="23"/>
        <v>6</v>
      </c>
      <c r="AB71" s="514" t="s">
        <v>3994</v>
      </c>
      <c r="AC71" s="515"/>
      <c r="AD71" s="515"/>
      <c r="AE71" s="216"/>
      <c r="AF71" s="168" t="s">
        <v>3987</v>
      </c>
      <c r="AG71" s="168">
        <v>1</v>
      </c>
      <c r="AH71" s="168">
        <v>16</v>
      </c>
      <c r="AI71" s="170">
        <v>2150</v>
      </c>
      <c r="AJ71" s="170">
        <f t="shared" si="21"/>
        <v>34400</v>
      </c>
      <c r="AL71" s="175"/>
    </row>
    <row r="72" spans="1:38" ht="12.6" customHeight="1" outlineLevel="1">
      <c r="A72" s="168">
        <f t="shared" si="22"/>
        <v>7</v>
      </c>
      <c r="B72" s="166" t="s">
        <v>3995</v>
      </c>
      <c r="C72" s="215"/>
      <c r="D72" s="168"/>
      <c r="E72" s="168">
        <f>$U$4</f>
        <v>18</v>
      </c>
      <c r="F72" s="168" t="s">
        <v>3977</v>
      </c>
      <c r="G72" s="204">
        <f>2000*0</f>
        <v>0</v>
      </c>
      <c r="H72" s="204">
        <f t="shared" si="20"/>
        <v>0</v>
      </c>
      <c r="I72" s="175"/>
      <c r="J72" s="175"/>
      <c r="AA72" s="168">
        <f t="shared" si="23"/>
        <v>7</v>
      </c>
      <c r="AB72" s="514" t="s">
        <v>3996</v>
      </c>
      <c r="AC72" s="515"/>
      <c r="AD72" s="515"/>
      <c r="AE72" s="216"/>
      <c r="AF72" s="168" t="s">
        <v>3987</v>
      </c>
      <c r="AG72" s="168">
        <v>1</v>
      </c>
      <c r="AH72" s="168">
        <v>13</v>
      </c>
      <c r="AI72" s="170">
        <f>(1.5*1.5*150*26)</f>
        <v>8775</v>
      </c>
      <c r="AJ72" s="170">
        <f t="shared" si="21"/>
        <v>114075</v>
      </c>
      <c r="AK72" s="175"/>
      <c r="AL72" s="175"/>
    </row>
    <row r="73" spans="1:38" ht="12.6" customHeight="1" outlineLevel="1">
      <c r="A73" s="168">
        <f t="shared" si="22"/>
        <v>8</v>
      </c>
      <c r="B73" s="166" t="s">
        <v>3997</v>
      </c>
      <c r="C73" s="215"/>
      <c r="D73" s="168">
        <v>1</v>
      </c>
      <c r="E73" s="168">
        <f>D73*$U$4</f>
        <v>18</v>
      </c>
      <c r="F73" s="168" t="s">
        <v>3998</v>
      </c>
      <c r="G73" s="227">
        <v>1000</v>
      </c>
      <c r="H73" s="204">
        <f t="shared" si="20"/>
        <v>18000</v>
      </c>
      <c r="I73" s="175" t="s">
        <v>3999</v>
      </c>
      <c r="J73" s="175"/>
      <c r="AA73" s="168">
        <f t="shared" si="23"/>
        <v>8</v>
      </c>
      <c r="AB73" s="514" t="s">
        <v>4000</v>
      </c>
      <c r="AC73" s="515"/>
      <c r="AD73" s="515"/>
      <c r="AE73" s="216"/>
      <c r="AF73" s="168" t="s">
        <v>4001</v>
      </c>
      <c r="AG73" s="168">
        <v>120</v>
      </c>
      <c r="AH73" s="168">
        <v>13</v>
      </c>
      <c r="AI73" s="170">
        <f>12.5*26</f>
        <v>325</v>
      </c>
      <c r="AJ73" s="170">
        <f t="shared" si="21"/>
        <v>507000</v>
      </c>
      <c r="AK73" s="175"/>
      <c r="AL73" s="175"/>
    </row>
    <row r="74" spans="1:38" ht="25.5" outlineLevel="1">
      <c r="A74" s="168">
        <f t="shared" si="22"/>
        <v>9</v>
      </c>
      <c r="B74" s="166" t="s">
        <v>4002</v>
      </c>
      <c r="C74" s="215"/>
      <c r="D74" s="168"/>
      <c r="E74" s="168">
        <v>1</v>
      </c>
      <c r="F74" s="168" t="s">
        <v>1923</v>
      </c>
      <c r="G74" s="227">
        <f>2000*0</f>
        <v>0</v>
      </c>
      <c r="H74" s="204">
        <f t="shared" si="20"/>
        <v>0</v>
      </c>
      <c r="I74" s="175"/>
      <c r="J74" s="175"/>
      <c r="AA74" s="168">
        <f t="shared" si="23"/>
        <v>9</v>
      </c>
      <c r="AB74" s="514" t="s">
        <v>4003</v>
      </c>
      <c r="AC74" s="515"/>
      <c r="AD74" s="515"/>
      <c r="AE74" s="216"/>
      <c r="AF74" s="168" t="s">
        <v>4001</v>
      </c>
      <c r="AG74" s="168">
        <f ca="1">SUMIF(AE9:AF52,"ALOJADO",AF9:AF52)</f>
        <v>5</v>
      </c>
      <c r="AH74" s="168">
        <v>13</v>
      </c>
      <c r="AI74" s="170">
        <f>(50*30)</f>
        <v>1500</v>
      </c>
      <c r="AJ74" s="170">
        <f t="shared" ca="1" si="21"/>
        <v>97500</v>
      </c>
      <c r="AK74" s="175"/>
      <c r="AL74" s="175"/>
    </row>
    <row r="75" spans="1:38" outlineLevel="1">
      <c r="A75" s="168">
        <f t="shared" si="22"/>
        <v>10</v>
      </c>
      <c r="B75" s="166" t="s">
        <v>4004</v>
      </c>
      <c r="C75" s="215"/>
      <c r="D75" s="226"/>
      <c r="E75" s="168"/>
      <c r="F75" s="168" t="s">
        <v>4005</v>
      </c>
      <c r="G75" s="174">
        <v>3</v>
      </c>
      <c r="H75" s="174">
        <f t="shared" si="20"/>
        <v>0</v>
      </c>
      <c r="I75" s="175" t="s">
        <v>4006</v>
      </c>
      <c r="J75" s="175" t="s">
        <v>4007</v>
      </c>
      <c r="AA75" s="168">
        <f t="shared" si="23"/>
        <v>10</v>
      </c>
      <c r="AB75" s="514" t="s">
        <v>4008</v>
      </c>
      <c r="AC75" s="515"/>
      <c r="AD75" s="515"/>
      <c r="AE75" s="216"/>
      <c r="AF75" s="168" t="s">
        <v>3987</v>
      </c>
      <c r="AG75" s="168">
        <v>1</v>
      </c>
      <c r="AH75" s="168">
        <v>16</v>
      </c>
      <c r="AI75" s="170">
        <v>87362.31</v>
      </c>
      <c r="AJ75" s="170">
        <f>AI75*AH75*AG75</f>
        <v>1397796.96</v>
      </c>
      <c r="AK75" s="175"/>
      <c r="AL75" s="175"/>
    </row>
    <row r="76" spans="1:38" ht="12.6" customHeight="1" outlineLevel="1">
      <c r="A76" s="168">
        <f t="shared" si="22"/>
        <v>11</v>
      </c>
      <c r="B76" s="166" t="s">
        <v>4009</v>
      </c>
      <c r="C76" s="215"/>
      <c r="D76" s="168"/>
      <c r="E76" s="224">
        <v>0</v>
      </c>
      <c r="F76" s="168" t="s">
        <v>4010</v>
      </c>
      <c r="G76" s="204">
        <f>(212+70)/[1]ID!$C$11</f>
        <v>76.21621621621621</v>
      </c>
      <c r="H76" s="204">
        <f t="shared" si="20"/>
        <v>0</v>
      </c>
      <c r="I76" s="175" t="s">
        <v>4011</v>
      </c>
      <c r="J76" s="175"/>
      <c r="AA76" s="168">
        <f t="shared" si="23"/>
        <v>11</v>
      </c>
      <c r="AB76" s="514" t="s">
        <v>4012</v>
      </c>
      <c r="AC76" s="515"/>
      <c r="AD76" s="515"/>
      <c r="AE76" s="216"/>
      <c r="AF76" s="168" t="s">
        <v>3964</v>
      </c>
      <c r="AG76" s="168">
        <v>8</v>
      </c>
      <c r="AH76" s="168">
        <v>10</v>
      </c>
      <c r="AI76" s="170">
        <f>120*3.7</f>
        <v>444</v>
      </c>
      <c r="AJ76" s="170">
        <f>AI76*AH76*AG76</f>
        <v>35520</v>
      </c>
      <c r="AK76" s="175"/>
      <c r="AL76" s="175"/>
    </row>
    <row r="77" spans="1:38" ht="12.6" customHeight="1" outlineLevel="1">
      <c r="A77" s="168"/>
      <c r="B77" s="166"/>
      <c r="C77" s="215"/>
      <c r="D77" s="168"/>
      <c r="E77" s="224"/>
      <c r="F77" s="168"/>
      <c r="G77" s="204"/>
      <c r="H77" s="204"/>
      <c r="I77" s="175"/>
      <c r="J77" s="175"/>
      <c r="AA77" s="168">
        <f t="shared" si="23"/>
        <v>12</v>
      </c>
      <c r="AB77" s="514" t="s">
        <v>4013</v>
      </c>
      <c r="AC77" s="515"/>
      <c r="AD77" s="515"/>
      <c r="AE77" s="216"/>
      <c r="AF77" s="224" t="s">
        <v>3987</v>
      </c>
      <c r="AG77" s="168">
        <v>1</v>
      </c>
      <c r="AH77" s="168">
        <v>1</v>
      </c>
      <c r="AI77" s="170">
        <f>81900+20000</f>
        <v>101900</v>
      </c>
      <c r="AJ77" s="170">
        <f>AI77*AH77*AG77</f>
        <v>101900</v>
      </c>
      <c r="AK77" s="175"/>
      <c r="AL77" s="175"/>
    </row>
    <row r="78" spans="1:38" outlineLevel="1">
      <c r="A78" s="168">
        <f>A76+1</f>
        <v>12</v>
      </c>
      <c r="B78" s="166"/>
      <c r="C78" s="215"/>
      <c r="D78" s="168"/>
      <c r="E78" s="224"/>
      <c r="F78" s="168"/>
      <c r="G78" s="174"/>
      <c r="H78" s="174">
        <f>E78*G78</f>
        <v>0</v>
      </c>
      <c r="I78" s="175"/>
      <c r="J78" s="175"/>
      <c r="K78" s="200"/>
      <c r="L78" s="200"/>
      <c r="M78" s="162"/>
      <c r="N78" s="162"/>
      <c r="O78" s="162"/>
      <c r="P78" s="162"/>
      <c r="AA78" s="168">
        <f>AA76+1</f>
        <v>12</v>
      </c>
      <c r="AB78" s="522"/>
      <c r="AC78" s="523"/>
      <c r="AD78" s="523"/>
      <c r="AE78" s="216"/>
      <c r="AF78" s="224"/>
      <c r="AG78" s="168"/>
      <c r="AH78" s="168"/>
      <c r="AI78" s="174"/>
      <c r="AJ78" s="174"/>
      <c r="AK78" s="175"/>
      <c r="AL78" s="175"/>
    </row>
    <row r="79" spans="1:38" ht="25.5">
      <c r="A79" s="217" t="s">
        <v>5</v>
      </c>
      <c r="B79" s="218" t="s">
        <v>4014</v>
      </c>
      <c r="C79" s="219"/>
      <c r="D79" s="217" t="s">
        <v>4015</v>
      </c>
      <c r="E79" s="217" t="s">
        <v>3802</v>
      </c>
      <c r="F79" s="217" t="s">
        <v>3975</v>
      </c>
      <c r="G79" s="220" t="s">
        <v>3804</v>
      </c>
      <c r="H79" s="220" t="s">
        <v>3805</v>
      </c>
      <c r="I79" s="221">
        <f>SUM(H80:H88)</f>
        <v>0</v>
      </c>
      <c r="J79" s="217"/>
      <c r="AA79" s="217" t="s">
        <v>5</v>
      </c>
      <c r="AB79" s="403"/>
      <c r="AC79" s="293" t="s">
        <v>4014</v>
      </c>
      <c r="AD79" s="404"/>
      <c r="AE79" s="219"/>
      <c r="AF79" s="217" t="s">
        <v>3961</v>
      </c>
      <c r="AG79" s="222" t="s">
        <v>3813</v>
      </c>
      <c r="AH79" s="222" t="s">
        <v>3814</v>
      </c>
      <c r="AI79" s="220" t="s">
        <v>3804</v>
      </c>
      <c r="AJ79" s="220" t="s">
        <v>3805</v>
      </c>
      <c r="AK79" s="223">
        <f>SUM(AJ80:AJ88)</f>
        <v>421963</v>
      </c>
      <c r="AL79" s="217"/>
    </row>
    <row r="80" spans="1:38" ht="12.95" customHeight="1" outlineLevel="1">
      <c r="A80" s="168"/>
      <c r="B80" s="228" t="s">
        <v>4016</v>
      </c>
      <c r="C80" s="229"/>
      <c r="D80" s="215"/>
      <c r="E80" s="168"/>
      <c r="F80" s="168"/>
      <c r="G80" s="204"/>
      <c r="H80" s="204"/>
      <c r="I80" s="175"/>
      <c r="J80" s="175"/>
      <c r="AA80" s="168">
        <v>1</v>
      </c>
      <c r="AB80" s="518" t="s">
        <v>4017</v>
      </c>
      <c r="AC80" s="519"/>
      <c r="AD80" s="519"/>
      <c r="AE80" s="230"/>
      <c r="AF80" s="168" t="s">
        <v>3964</v>
      </c>
      <c r="AG80" s="168">
        <v>1</v>
      </c>
      <c r="AH80" s="168">
        <v>18</v>
      </c>
      <c r="AI80" s="170">
        <v>8000</v>
      </c>
      <c r="AJ80" s="170">
        <f t="shared" ref="AJ80:AJ88" si="24">AI80*AH80*AG80</f>
        <v>144000</v>
      </c>
      <c r="AK80" s="175"/>
      <c r="AL80" s="175"/>
    </row>
    <row r="81" spans="1:40" ht="51" outlineLevel="1">
      <c r="A81" s="165">
        <v>26</v>
      </c>
      <c r="B81" s="166" t="s">
        <v>3857</v>
      </c>
      <c r="D81" s="231">
        <v>0</v>
      </c>
      <c r="E81" s="168">
        <v>1</v>
      </c>
      <c r="F81" s="232">
        <f>T2-30</f>
        <v>510</v>
      </c>
      <c r="G81" s="174">
        <v>55.29</v>
      </c>
      <c r="H81" s="174">
        <f>D81*E81*F81*G81</f>
        <v>0</v>
      </c>
      <c r="I81" s="175"/>
      <c r="J81" s="175"/>
      <c r="AA81" s="168">
        <f>+AA80+1</f>
        <v>2</v>
      </c>
      <c r="AB81" s="514" t="s">
        <v>4018</v>
      </c>
      <c r="AC81" s="515"/>
      <c r="AD81" s="515"/>
      <c r="AF81" s="168" t="s">
        <v>3964</v>
      </c>
      <c r="AG81" s="168">
        <v>1</v>
      </c>
      <c r="AH81" s="168">
        <v>16</v>
      </c>
      <c r="AI81" s="170">
        <f>2000+1800</f>
        <v>3800</v>
      </c>
      <c r="AJ81" s="170">
        <f t="shared" si="24"/>
        <v>60800</v>
      </c>
      <c r="AK81" s="175"/>
      <c r="AL81" s="175"/>
    </row>
    <row r="82" spans="1:40" ht="12.6" customHeight="1" outlineLevel="1">
      <c r="A82" s="165">
        <v>33</v>
      </c>
      <c r="B82" s="166" t="s">
        <v>3910</v>
      </c>
      <c r="D82" s="231">
        <f t="shared" ref="D82:D87" si="25">$D$81</f>
        <v>0</v>
      </c>
      <c r="E82" s="168">
        <v>1</v>
      </c>
      <c r="F82" s="169">
        <f>+$F$81</f>
        <v>510</v>
      </c>
      <c r="G82" s="174">
        <v>78.09</v>
      </c>
      <c r="H82" s="174">
        <f>D82*E82*F82*G82</f>
        <v>0</v>
      </c>
      <c r="I82" s="175"/>
      <c r="J82" s="175"/>
      <c r="AA82" s="168">
        <f t="shared" ref="AA82:AA87" si="26">+AA81+1</f>
        <v>3</v>
      </c>
      <c r="AB82" s="514" t="s">
        <v>4019</v>
      </c>
      <c r="AC82" s="515"/>
      <c r="AD82" s="515"/>
      <c r="AF82" s="168" t="s">
        <v>3987</v>
      </c>
      <c r="AG82" s="168">
        <v>1</v>
      </c>
      <c r="AH82" s="169">
        <v>1</v>
      </c>
      <c r="AI82" s="170">
        <f>31000+8000+8000</f>
        <v>47000</v>
      </c>
      <c r="AJ82" s="170">
        <f t="shared" si="24"/>
        <v>47000</v>
      </c>
      <c r="AK82" s="175"/>
      <c r="AL82" s="175"/>
    </row>
    <row r="83" spans="1:40" ht="38.25" outlineLevel="1">
      <c r="A83" s="165">
        <v>126</v>
      </c>
      <c r="B83" s="166" t="s">
        <v>3912</v>
      </c>
      <c r="D83" s="231">
        <f t="shared" si="25"/>
        <v>0</v>
      </c>
      <c r="E83" s="168">
        <v>2</v>
      </c>
      <c r="F83" s="169">
        <f>+$F$81</f>
        <v>510</v>
      </c>
      <c r="G83" s="174">
        <v>50.08</v>
      </c>
      <c r="H83" s="174">
        <f>D83*E83*F83*G83</f>
        <v>0</v>
      </c>
      <c r="I83" s="175"/>
      <c r="J83" s="175"/>
      <c r="AA83" s="168">
        <f t="shared" si="26"/>
        <v>4</v>
      </c>
      <c r="AB83" s="514" t="s">
        <v>4020</v>
      </c>
      <c r="AC83" s="515"/>
      <c r="AD83" s="515"/>
      <c r="AF83" s="168" t="s">
        <v>3964</v>
      </c>
      <c r="AG83" s="168">
        <v>25</v>
      </c>
      <c r="AH83" s="169">
        <v>1</v>
      </c>
      <c r="AI83" s="170">
        <f>1250*3.7</f>
        <v>4625</v>
      </c>
      <c r="AJ83" s="170">
        <f t="shared" si="24"/>
        <v>115625</v>
      </c>
      <c r="AK83" s="175"/>
      <c r="AL83" s="175"/>
    </row>
    <row r="84" spans="1:40" ht="12.6" customHeight="1" outlineLevel="1">
      <c r="A84" s="165">
        <v>115</v>
      </c>
      <c r="B84" s="166" t="s">
        <v>3933</v>
      </c>
      <c r="D84" s="231">
        <f t="shared" si="25"/>
        <v>0</v>
      </c>
      <c r="E84" s="168"/>
      <c r="F84" s="169">
        <f>+$F$81</f>
        <v>510</v>
      </c>
      <c r="G84" s="174">
        <v>48.06</v>
      </c>
      <c r="H84" s="174">
        <f>D84*E84*F84*G84</f>
        <v>0</v>
      </c>
      <c r="I84" s="175"/>
      <c r="J84" s="175"/>
      <c r="AA84" s="168">
        <f t="shared" si="26"/>
        <v>5</v>
      </c>
      <c r="AB84" s="514" t="s">
        <v>4021</v>
      </c>
      <c r="AC84" s="515"/>
      <c r="AD84" s="515"/>
      <c r="AF84" s="168" t="s">
        <v>3964</v>
      </c>
      <c r="AG84" s="168">
        <v>3</v>
      </c>
      <c r="AH84" s="169">
        <v>1</v>
      </c>
      <c r="AI84" s="170">
        <f>1720*3.7</f>
        <v>6364</v>
      </c>
      <c r="AJ84" s="170">
        <f t="shared" si="24"/>
        <v>19092</v>
      </c>
      <c r="AK84" s="175"/>
      <c r="AL84" s="175"/>
    </row>
    <row r="85" spans="1:40" ht="12.6" customHeight="1" outlineLevel="1">
      <c r="A85" s="190"/>
      <c r="B85" s="233" t="s">
        <v>4022</v>
      </c>
      <c r="C85" s="234"/>
      <c r="D85" s="231">
        <f t="shared" si="25"/>
        <v>0</v>
      </c>
      <c r="E85" s="224">
        <f>SUMPRODUCT(E81:E84,F81:F84)</f>
        <v>2040</v>
      </c>
      <c r="F85" s="235" t="s">
        <v>4023</v>
      </c>
      <c r="G85" s="174">
        <v>15</v>
      </c>
      <c r="H85" s="174">
        <f>D85*E85*G85</f>
        <v>0</v>
      </c>
      <c r="I85" s="175"/>
      <c r="J85" s="175" t="s">
        <v>4024</v>
      </c>
      <c r="AA85" s="168">
        <f t="shared" si="26"/>
        <v>6</v>
      </c>
      <c r="AB85" s="525" t="s">
        <v>4025</v>
      </c>
      <c r="AC85" s="526"/>
      <c r="AD85" s="526"/>
      <c r="AE85" s="236"/>
      <c r="AF85" s="224" t="s">
        <v>3964</v>
      </c>
      <c r="AG85" s="224">
        <v>2</v>
      </c>
      <c r="AH85" s="169">
        <v>1</v>
      </c>
      <c r="AI85" s="170">
        <f>1290*3.7</f>
        <v>4773</v>
      </c>
      <c r="AJ85" s="170">
        <f t="shared" si="24"/>
        <v>9546</v>
      </c>
      <c r="AK85" s="175"/>
      <c r="AL85" s="175"/>
    </row>
    <row r="86" spans="1:40" outlineLevel="1">
      <c r="A86" s="168"/>
      <c r="B86" s="233" t="s">
        <v>4026</v>
      </c>
      <c r="C86" s="234"/>
      <c r="D86" s="231">
        <f t="shared" si="25"/>
        <v>0</v>
      </c>
      <c r="E86" s="237"/>
      <c r="F86" s="235" t="s">
        <v>3977</v>
      </c>
      <c r="G86" s="174">
        <v>2000</v>
      </c>
      <c r="H86" s="174">
        <f>D86*E86*G86</f>
        <v>0</v>
      </c>
      <c r="I86" s="175"/>
      <c r="J86" s="175"/>
      <c r="AA86" s="168">
        <f t="shared" si="26"/>
        <v>7</v>
      </c>
      <c r="AB86" s="525" t="s">
        <v>4027</v>
      </c>
      <c r="AC86" s="526"/>
      <c r="AD86" s="526"/>
      <c r="AE86" s="236"/>
      <c r="AF86" s="237" t="s">
        <v>3964</v>
      </c>
      <c r="AG86" s="237">
        <v>2</v>
      </c>
      <c r="AH86" s="169">
        <v>1</v>
      </c>
      <c r="AI86" s="170">
        <f>500*3.7</f>
        <v>1850</v>
      </c>
      <c r="AJ86" s="170">
        <f t="shared" si="24"/>
        <v>3700</v>
      </c>
      <c r="AK86" s="175"/>
      <c r="AL86" s="175"/>
    </row>
    <row r="87" spans="1:40" ht="12.6" customHeight="1" outlineLevel="1">
      <c r="A87" s="168"/>
      <c r="B87" s="166" t="s">
        <v>4028</v>
      </c>
      <c r="D87" s="231">
        <f t="shared" si="25"/>
        <v>0</v>
      </c>
      <c r="E87" s="237">
        <f>U4</f>
        <v>18</v>
      </c>
      <c r="F87" s="190" t="s">
        <v>3977</v>
      </c>
      <c r="G87" s="174">
        <v>2400</v>
      </c>
      <c r="H87" s="174">
        <f>D87*E87*G87</f>
        <v>0</v>
      </c>
      <c r="I87" s="175"/>
      <c r="J87" s="175"/>
      <c r="AA87" s="168">
        <f t="shared" si="26"/>
        <v>8</v>
      </c>
      <c r="AB87" s="525" t="s">
        <v>4029</v>
      </c>
      <c r="AC87" s="526"/>
      <c r="AD87" s="526"/>
      <c r="AF87" s="237" t="s">
        <v>3987</v>
      </c>
      <c r="AG87" s="190">
        <v>1</v>
      </c>
      <c r="AH87" s="190">
        <v>1</v>
      </c>
      <c r="AI87" s="170">
        <f>6000*3.7</f>
        <v>22200</v>
      </c>
      <c r="AJ87" s="170">
        <f t="shared" ref="AJ87" si="27">AI87*AH87*AG87</f>
        <v>22200</v>
      </c>
      <c r="AK87" s="175"/>
      <c r="AL87" s="175"/>
    </row>
    <row r="88" spans="1:40" outlineLevel="1">
      <c r="A88" s="168"/>
      <c r="B88" s="166"/>
      <c r="D88" s="215"/>
      <c r="E88" s="168"/>
      <c r="F88" s="168"/>
      <c r="G88" s="204"/>
      <c r="H88" s="204">
        <f>D88*E88*G88/100</f>
        <v>0</v>
      </c>
      <c r="I88" s="175"/>
      <c r="J88" s="175"/>
      <c r="AA88" s="168"/>
      <c r="AB88" s="522"/>
      <c r="AC88" s="523"/>
      <c r="AD88" s="523"/>
      <c r="AF88" s="168"/>
      <c r="AG88" s="168"/>
      <c r="AH88" s="168"/>
      <c r="AI88" s="204"/>
      <c r="AJ88" s="170">
        <f t="shared" si="24"/>
        <v>0</v>
      </c>
      <c r="AK88" s="175"/>
      <c r="AL88" s="175"/>
    </row>
    <row r="89" spans="1:40">
      <c r="A89" s="238"/>
      <c r="B89" s="239"/>
      <c r="C89" s="240"/>
      <c r="D89" s="240"/>
      <c r="E89" s="240"/>
      <c r="F89" s="238"/>
      <c r="G89" s="240"/>
      <c r="H89" s="240"/>
      <c r="I89" s="240"/>
      <c r="J89" s="240"/>
      <c r="AA89" s="238"/>
      <c r="AB89" s="239"/>
      <c r="AC89" s="198"/>
      <c r="AD89" s="163"/>
      <c r="AE89" s="238"/>
      <c r="AF89" s="240"/>
      <c r="AG89" s="238"/>
      <c r="AH89" s="238"/>
      <c r="AI89" s="240"/>
      <c r="AJ89" s="240"/>
      <c r="AK89" s="240"/>
      <c r="AL89" s="240"/>
    </row>
    <row r="90" spans="1:40" ht="12.95" customHeight="1">
      <c r="A90" s="241" t="s">
        <v>5</v>
      </c>
      <c r="B90" s="242" t="s">
        <v>4030</v>
      </c>
      <c r="C90" s="243"/>
      <c r="D90" s="244"/>
      <c r="E90" s="241" t="s">
        <v>3802</v>
      </c>
      <c r="F90" s="241" t="s">
        <v>3975</v>
      </c>
      <c r="G90" s="245" t="s">
        <v>3804</v>
      </c>
      <c r="H90" s="245" t="s">
        <v>3805</v>
      </c>
      <c r="I90" s="246">
        <f>SUM(H91:H94)</f>
        <v>1209953.8763388216</v>
      </c>
      <c r="J90" s="241" t="s">
        <v>3792</v>
      </c>
      <c r="AA90" s="241" t="s">
        <v>5</v>
      </c>
      <c r="AB90" s="405"/>
      <c r="AC90" s="407" t="s">
        <v>4031</v>
      </c>
      <c r="AD90" s="406"/>
      <c r="AE90" s="243"/>
      <c r="AF90" s="241" t="s">
        <v>3802</v>
      </c>
      <c r="AG90" s="241" t="s">
        <v>3975</v>
      </c>
      <c r="AH90" s="241"/>
      <c r="AI90" s="245" t="s">
        <v>3804</v>
      </c>
      <c r="AJ90" s="245" t="s">
        <v>3805</v>
      </c>
      <c r="AK90" s="247" t="e">
        <f>SUM(AJ91:AJ94)</f>
        <v>#REF!</v>
      </c>
      <c r="AL90" s="241" t="s">
        <v>3792</v>
      </c>
    </row>
    <row r="91" spans="1:40" outlineLevel="1">
      <c r="A91" s="171">
        <v>1</v>
      </c>
      <c r="B91" s="228" t="s">
        <v>4032</v>
      </c>
      <c r="C91" s="229"/>
      <c r="D91" s="215"/>
      <c r="E91" s="248">
        <f>1.5</f>
        <v>1.5</v>
      </c>
      <c r="F91" s="168" t="s">
        <v>4033</v>
      </c>
      <c r="G91" s="249">
        <f>[1]RESUMEN!M115</f>
        <v>10521338.055120189</v>
      </c>
      <c r="H91" s="204">
        <f>E91*G91/100</f>
        <v>157820.07082680284</v>
      </c>
      <c r="I91" s="175"/>
      <c r="J91" s="225">
        <f>H91/$U$4</f>
        <v>8767.7817126001573</v>
      </c>
      <c r="AA91" s="171">
        <v>1</v>
      </c>
      <c r="AB91" s="228" t="s">
        <v>4032</v>
      </c>
      <c r="AC91" s="250"/>
      <c r="AD91" s="251"/>
      <c r="AE91" s="230"/>
      <c r="AF91" s="425">
        <f>1.5</f>
        <v>1.5</v>
      </c>
      <c r="AG91" s="168" t="s">
        <v>4033</v>
      </c>
      <c r="AH91" s="168"/>
      <c r="AI91" s="252" t="e">
        <f>+'Planilla de Cierre - META'!#REF!</f>
        <v>#REF!</v>
      </c>
      <c r="AJ91" s="253" t="e">
        <f>AF91*AI91/100</f>
        <v>#REF!</v>
      </c>
      <c r="AK91" s="175"/>
      <c r="AL91" s="254" t="e">
        <f>AJ91/$AL$4</f>
        <v>#REF!</v>
      </c>
    </row>
    <row r="92" spans="1:40" outlineLevel="1">
      <c r="A92" s="255">
        <f>A91+1</f>
        <v>2</v>
      </c>
      <c r="B92" s="256" t="s">
        <v>4034</v>
      </c>
      <c r="C92" s="257"/>
      <c r="D92" s="258"/>
      <c r="E92" s="259">
        <v>3</v>
      </c>
      <c r="F92" s="210" t="s">
        <v>4033</v>
      </c>
      <c r="G92" s="260">
        <f>[1]RESUMEN!M115</f>
        <v>10521338.055120189</v>
      </c>
      <c r="H92" s="211">
        <f>E92*G92/100</f>
        <v>315640.14165360568</v>
      </c>
      <c r="I92" s="212"/>
      <c r="J92" s="261"/>
      <c r="L92" s="280">
        <f>+H92*3.7</f>
        <v>1167868.524118341</v>
      </c>
      <c r="AA92" s="255">
        <f>AA91+1</f>
        <v>2</v>
      </c>
      <c r="AB92" s="256" t="s">
        <v>4035</v>
      </c>
      <c r="AC92" s="262"/>
      <c r="AD92" s="263"/>
      <c r="AE92" s="264"/>
      <c r="AF92" s="426">
        <v>1</v>
      </c>
      <c r="AG92" s="210" t="s">
        <v>4033</v>
      </c>
      <c r="AH92" s="210"/>
      <c r="AI92" s="265" t="e">
        <f>+AI91</f>
        <v>#REF!</v>
      </c>
      <c r="AJ92" s="266" t="e">
        <f>AF92*AI92/100</f>
        <v>#REF!</v>
      </c>
      <c r="AK92" s="212"/>
      <c r="AL92" s="254" t="e">
        <f>AJ92/$AL$4</f>
        <v>#REF!</v>
      </c>
    </row>
    <row r="93" spans="1:40" outlineLevel="1">
      <c r="A93" s="267">
        <f>A92+1</f>
        <v>3</v>
      </c>
      <c r="B93" s="268" t="s">
        <v>4036</v>
      </c>
      <c r="C93" s="269"/>
      <c r="D93" s="270"/>
      <c r="E93" s="267">
        <v>3</v>
      </c>
      <c r="F93" s="271" t="s">
        <v>4033</v>
      </c>
      <c r="G93" s="272">
        <f>[1]RESUMEN!M115</f>
        <v>10521338.055120189</v>
      </c>
      <c r="H93" s="272">
        <f>E93*G93/100</f>
        <v>315640.14165360568</v>
      </c>
      <c r="I93" s="212"/>
      <c r="J93" s="261"/>
      <c r="AA93" s="267">
        <f>AA92+1</f>
        <v>3</v>
      </c>
      <c r="AB93" s="268" t="s">
        <v>4036</v>
      </c>
      <c r="AC93" s="273"/>
      <c r="AD93" s="274"/>
      <c r="AE93" s="275"/>
      <c r="AF93" s="427">
        <v>0</v>
      </c>
      <c r="AG93" s="271" t="s">
        <v>4033</v>
      </c>
      <c r="AH93" s="271"/>
      <c r="AI93" s="276" t="e">
        <f>+AI91</f>
        <v>#REF!</v>
      </c>
      <c r="AJ93" s="276" t="e">
        <f>AF93*AI93/100</f>
        <v>#REF!</v>
      </c>
      <c r="AK93" s="212"/>
      <c r="AL93" s="261"/>
    </row>
    <row r="94" spans="1:40" outlineLevel="1">
      <c r="A94" s="171">
        <f>A93+1</f>
        <v>4</v>
      </c>
      <c r="B94" s="228" t="s">
        <v>4037</v>
      </c>
      <c r="C94" s="229"/>
      <c r="D94" s="215"/>
      <c r="E94" s="259">
        <v>4</v>
      </c>
      <c r="F94" s="168" t="s">
        <v>4033</v>
      </c>
      <c r="G94" s="260">
        <f>[1]RESUMEN!M115</f>
        <v>10521338.055120189</v>
      </c>
      <c r="H94" s="204">
        <f>E94*G94/100</f>
        <v>420853.52220480755</v>
      </c>
      <c r="I94" s="175"/>
      <c r="J94" s="254">
        <f>H94/$U$4</f>
        <v>23380.751233600418</v>
      </c>
      <c r="AA94" s="171">
        <f>AA93+1</f>
        <v>4</v>
      </c>
      <c r="AB94" s="228" t="s">
        <v>4038</v>
      </c>
      <c r="AC94" s="250"/>
      <c r="AD94" s="251"/>
      <c r="AE94" s="230"/>
      <c r="AF94" s="426">
        <v>5.5</v>
      </c>
      <c r="AG94" s="168" t="s">
        <v>4033</v>
      </c>
      <c r="AH94" s="168"/>
      <c r="AI94" s="265" t="e">
        <f>+AI91</f>
        <v>#REF!</v>
      </c>
      <c r="AJ94" s="253" t="e">
        <f>AF94*AI94/100</f>
        <v>#REF!</v>
      </c>
      <c r="AK94" s="175"/>
      <c r="AL94" s="254" t="e">
        <f>AJ94/$AL$3</f>
        <v>#REF!</v>
      </c>
    </row>
    <row r="95" spans="1:40">
      <c r="A95" s="238"/>
      <c r="B95" s="239"/>
      <c r="C95" s="240"/>
      <c r="D95" s="240"/>
      <c r="E95" s="240"/>
      <c r="F95" s="238"/>
      <c r="G95" s="240"/>
      <c r="H95" s="240"/>
      <c r="I95" s="240"/>
      <c r="J95" s="240"/>
      <c r="AA95" s="238"/>
      <c r="AB95" s="239"/>
      <c r="AC95" s="198"/>
      <c r="AD95" s="163"/>
      <c r="AE95" s="238"/>
      <c r="AF95" s="240"/>
      <c r="AG95" s="238"/>
      <c r="AH95" s="238"/>
      <c r="AI95" s="240"/>
      <c r="AJ95" s="240"/>
      <c r="AK95" s="240"/>
      <c r="AL95" s="240"/>
    </row>
    <row r="96" spans="1:40" ht="18.95" customHeight="1">
      <c r="A96" s="130"/>
      <c r="F96" s="277"/>
      <c r="G96" s="278" t="s">
        <v>4039</v>
      </c>
      <c r="H96" s="279">
        <f>SUM(I6:I94)</f>
        <v>2675366.4722847668</v>
      </c>
      <c r="I96" s="280">
        <f>+H96*3.7</f>
        <v>9898855.9474536385</v>
      </c>
      <c r="L96" s="434">
        <f>+I96+L92</f>
        <v>11066724.47157198</v>
      </c>
      <c r="AA96" s="130"/>
      <c r="AB96" s="140"/>
      <c r="AC96" s="128"/>
      <c r="AD96" s="129"/>
      <c r="AG96" s="512" t="s">
        <v>4039</v>
      </c>
      <c r="AH96" s="513"/>
      <c r="AI96" s="513"/>
      <c r="AJ96" s="524"/>
      <c r="AK96" s="281" t="e">
        <f ca="1">SUM(AK7:AK94)</f>
        <v>#REF!</v>
      </c>
      <c r="AN96" s="280"/>
    </row>
    <row r="97" spans="1:37" ht="18.95" customHeight="1">
      <c r="A97" s="130"/>
      <c r="F97" s="277"/>
      <c r="G97" s="278"/>
      <c r="H97" s="279"/>
      <c r="I97" s="280"/>
      <c r="AA97" s="130"/>
      <c r="AB97" s="140"/>
      <c r="AC97" s="128"/>
      <c r="AD97" s="129"/>
      <c r="AG97" s="512" t="s">
        <v>4040</v>
      </c>
      <c r="AH97" s="513"/>
      <c r="AI97" s="513"/>
      <c r="AJ97" s="431" t="s">
        <v>4041</v>
      </c>
      <c r="AK97" s="443" t="e">
        <f ca="1">+AK96/'Planilla de Cierre - META'!#REF!</f>
        <v>#REF!</v>
      </c>
    </row>
    <row r="98" spans="1:37">
      <c r="H98" s="280"/>
      <c r="AB98" s="140"/>
      <c r="AC98" s="128"/>
      <c r="AD98" s="129"/>
      <c r="AJ98" s="280"/>
    </row>
    <row r="99" spans="1:37" ht="25.5" hidden="1">
      <c r="B99" s="282" t="s">
        <v>4042</v>
      </c>
      <c r="C99" s="283"/>
      <c r="D99" s="284">
        <f>[1]RESUMEN!M127</f>
        <v>16980197.327145185</v>
      </c>
      <c r="H99" s="200"/>
      <c r="AB99" s="282" t="s">
        <v>4042</v>
      </c>
      <c r="AC99" s="285"/>
      <c r="AD99" s="222"/>
      <c r="AE99" s="217"/>
      <c r="AJ99" s="200"/>
    </row>
    <row r="100" spans="1:37" ht="25.5" hidden="1">
      <c r="B100" s="286" t="s">
        <v>4043</v>
      </c>
      <c r="C100" s="287"/>
      <c r="D100" s="288">
        <f>[1]ID!C38</f>
        <v>62826730.110437207</v>
      </c>
      <c r="AB100" s="286" t="s">
        <v>4043</v>
      </c>
      <c r="AC100" s="289"/>
      <c r="AD100" s="290"/>
      <c r="AE100" s="291"/>
    </row>
    <row r="101" spans="1:37">
      <c r="H101" s="280"/>
      <c r="AB101" s="140"/>
      <c r="AC101" s="128"/>
      <c r="AD101" s="129"/>
    </row>
    <row r="107" spans="1:37">
      <c r="G107" s="292">
        <f>800000/G91</f>
        <v>7.6035956245192743E-2</v>
      </c>
    </row>
  </sheetData>
  <autoFilter ref="A6:J88" xr:uid="{00000000-0009-0000-0000-000002000000}"/>
  <mergeCells count="27">
    <mergeCell ref="AB83:AD83"/>
    <mergeCell ref="AG96:AJ96"/>
    <mergeCell ref="AB85:AD85"/>
    <mergeCell ref="AB86:AD86"/>
    <mergeCell ref="AB87:AD87"/>
    <mergeCell ref="AB88:AD88"/>
    <mergeCell ref="AB74:AD74"/>
    <mergeCell ref="AB77:AD77"/>
    <mergeCell ref="AB80:AD80"/>
    <mergeCell ref="AB81:AD81"/>
    <mergeCell ref="AB82:AD82"/>
    <mergeCell ref="AG97:AI97"/>
    <mergeCell ref="AB71:AD71"/>
    <mergeCell ref="M43:M45"/>
    <mergeCell ref="AB54:AD54"/>
    <mergeCell ref="AB55:AD55"/>
    <mergeCell ref="AB66:AD66"/>
    <mergeCell ref="AB67:AD67"/>
    <mergeCell ref="AB68:AD68"/>
    <mergeCell ref="AB69:AD69"/>
    <mergeCell ref="AB70:AD70"/>
    <mergeCell ref="AB84:AD84"/>
    <mergeCell ref="AB72:AD72"/>
    <mergeCell ref="AB73:AD73"/>
    <mergeCell ref="AB75:AD75"/>
    <mergeCell ref="AB76:AD76"/>
    <mergeCell ref="AB78:AD78"/>
  </mergeCells>
  <conditionalFormatting sqref="E7:E51">
    <cfRule type="cellIs" dxfId="3" priority="3" operator="greaterThan">
      <formula>0</formula>
    </cfRule>
  </conditionalFormatting>
  <conditionalFormatting sqref="E54:E64">
    <cfRule type="cellIs" dxfId="2" priority="13" operator="greaterThan">
      <formula>0</formula>
    </cfRule>
  </conditionalFormatting>
  <conditionalFormatting sqref="AF7:AF40">
    <cfRule type="cellIs" dxfId="1" priority="1" operator="greaterThan">
      <formula>0</formula>
    </cfRule>
  </conditionalFormatting>
  <conditionalFormatting sqref="AF42:AF52">
    <cfRule type="cellIs" dxfId="0" priority="12" operator="greaterThan">
      <formula>0</formula>
    </cfRule>
  </conditionalFormatting>
  <printOptions horizontalCentered="1" verticalCentered="1"/>
  <pageMargins left="0.35433070866141736" right="0.35433070866141736" top="0.59055118110236227" bottom="0.59055118110236227" header="0" footer="0"/>
  <pageSetup paperSize="9" scale="47" orientation="portrait" r:id="rId1"/>
  <headerFooter>
    <oddFooter>&amp;LFile: &amp;F/&amp;A&amp;RPage: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S53"/>
  <sheetViews>
    <sheetView showGridLines="0" topLeftCell="A2" zoomScale="70" zoomScaleNormal="70" zoomScaleSheetLayoutView="70" workbookViewId="0">
      <pane xSplit="4" ySplit="1" topLeftCell="W19" activePane="bottomRight" state="frozen"/>
      <selection activeCell="AI14" sqref="AI14"/>
      <selection pane="topRight" activeCell="AI14" sqref="AI14"/>
      <selection pane="bottomLeft" activeCell="AI14" sqref="AI14"/>
      <selection pane="bottomRight" activeCell="AI14" sqref="AI14"/>
    </sheetView>
  </sheetViews>
  <sheetFormatPr baseColWidth="10" defaultColWidth="10.85546875" defaultRowHeight="12"/>
  <cols>
    <col min="1" max="1" width="2.42578125" style="294" customWidth="1"/>
    <col min="2" max="2" width="9.42578125" style="294" customWidth="1"/>
    <col min="3" max="3" width="10.85546875" style="294" customWidth="1"/>
    <col min="4" max="4" width="46.42578125" style="294" customWidth="1"/>
    <col min="5" max="5" width="8.140625" style="296" customWidth="1"/>
    <col min="6" max="6" width="7.85546875" style="296" customWidth="1"/>
    <col min="7" max="7" width="6.85546875" style="296" customWidth="1"/>
    <col min="8" max="8" width="7.42578125" style="296" customWidth="1"/>
    <col min="9" max="10" width="6.85546875" style="296" customWidth="1"/>
    <col min="11" max="11" width="7.5703125" style="296" customWidth="1"/>
    <col min="12" max="13" width="6.85546875" style="296" customWidth="1"/>
    <col min="14" max="14" width="8.140625" style="296" customWidth="1"/>
    <col min="15" max="15" width="6.85546875" style="296" customWidth="1"/>
    <col min="16" max="16" width="7.85546875" style="296" customWidth="1"/>
    <col min="17" max="17" width="6.85546875" style="296" customWidth="1"/>
    <col min="18" max="18" width="8.5703125" style="296" customWidth="1"/>
    <col min="19" max="19" width="6.85546875" style="296" customWidth="1"/>
    <col min="20" max="20" width="7.140625" style="296" customWidth="1"/>
    <col min="21" max="22" width="6.85546875" style="296" customWidth="1"/>
    <col min="23" max="23" width="7.85546875" style="294" customWidth="1"/>
    <col min="24" max="24" width="4.85546875" style="296" customWidth="1"/>
    <col min="25" max="25" width="5.140625" style="296" bestFit="1" customWidth="1"/>
    <col min="26" max="26" width="9.42578125" style="294" customWidth="1"/>
    <col min="27" max="27" width="21.85546875" style="294" customWidth="1"/>
    <col min="28" max="28" width="21.42578125" style="294" customWidth="1"/>
    <col min="29" max="29" width="10.85546875" style="294"/>
    <col min="30" max="44" width="8.85546875" style="294" customWidth="1"/>
    <col min="45" max="16384" width="10.85546875" style="294"/>
  </cols>
  <sheetData>
    <row r="2" spans="2:45" ht="18.600000000000001" customHeight="1" thickBot="1">
      <c r="E2" s="295" t="s">
        <v>4044</v>
      </c>
      <c r="F2" s="295" t="s">
        <v>4045</v>
      </c>
      <c r="G2" s="295" t="s">
        <v>4046</v>
      </c>
      <c r="H2" s="295" t="s">
        <v>4047</v>
      </c>
      <c r="I2" s="295" t="s">
        <v>4048</v>
      </c>
      <c r="J2" s="295" t="s">
        <v>4049</v>
      </c>
      <c r="K2" s="295" t="s">
        <v>4050</v>
      </c>
      <c r="L2" s="295" t="s">
        <v>4051</v>
      </c>
      <c r="M2" s="295" t="s">
        <v>4052</v>
      </c>
      <c r="N2" s="295" t="s">
        <v>4053</v>
      </c>
      <c r="O2" s="295" t="s">
        <v>4054</v>
      </c>
      <c r="P2" s="295" t="s">
        <v>4055</v>
      </c>
      <c r="Q2" s="295" t="s">
        <v>4056</v>
      </c>
      <c r="R2" s="295" t="s">
        <v>4057</v>
      </c>
      <c r="S2" s="295" t="s">
        <v>4058</v>
      </c>
      <c r="T2" s="295" t="s">
        <v>4059</v>
      </c>
      <c r="U2" s="295" t="s">
        <v>4060</v>
      </c>
      <c r="V2" s="295" t="s">
        <v>4061</v>
      </c>
      <c r="W2" s="295" t="s">
        <v>4062</v>
      </c>
    </row>
    <row r="3" spans="2:45" ht="18.600000000000001" customHeight="1" thickBot="1">
      <c r="F3" s="527" t="s">
        <v>4063</v>
      </c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9"/>
    </row>
    <row r="4" spans="2:45" ht="5.0999999999999996" customHeight="1"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</row>
    <row r="5" spans="2:45" ht="18.600000000000001" customHeight="1" thickBot="1">
      <c r="E5" s="295"/>
      <c r="F5" s="295"/>
      <c r="G5" s="295"/>
      <c r="H5" s="295" t="s">
        <v>4045</v>
      </c>
      <c r="I5" s="295" t="s">
        <v>4046</v>
      </c>
      <c r="J5" s="295" t="s">
        <v>4047</v>
      </c>
      <c r="K5" s="295" t="s">
        <v>4048</v>
      </c>
      <c r="L5" s="295" t="s">
        <v>4049</v>
      </c>
      <c r="M5" s="295" t="s">
        <v>4050</v>
      </c>
      <c r="N5" s="295" t="s">
        <v>4051</v>
      </c>
      <c r="O5" s="295" t="s">
        <v>4052</v>
      </c>
      <c r="P5" s="295" t="s">
        <v>4053</v>
      </c>
      <c r="Q5" s="295" t="s">
        <v>4054</v>
      </c>
      <c r="R5" s="295" t="s">
        <v>4055</v>
      </c>
      <c r="S5" s="295" t="s">
        <v>4056</v>
      </c>
      <c r="T5" s="295" t="s">
        <v>4057</v>
      </c>
      <c r="U5" s="295" t="s">
        <v>4058</v>
      </c>
      <c r="V5" s="295"/>
      <c r="W5" s="295"/>
    </row>
    <row r="6" spans="2:45" ht="18.600000000000001" customHeight="1" thickBot="1">
      <c r="H6" s="527" t="s">
        <v>4064</v>
      </c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9"/>
      <c r="AA6" s="408" t="s">
        <v>4065</v>
      </c>
      <c r="AB6" s="408">
        <v>1.5</v>
      </c>
    </row>
    <row r="7" spans="2:45" ht="5.0999999999999996" customHeight="1">
      <c r="F7" s="294"/>
      <c r="G7" s="294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4"/>
    </row>
    <row r="8" spans="2:45" ht="17.45" customHeight="1">
      <c r="E8" s="299">
        <v>45323</v>
      </c>
      <c r="F8" s="299">
        <v>45352</v>
      </c>
      <c r="G8" s="300">
        <v>45383</v>
      </c>
      <c r="H8" s="299">
        <v>45413</v>
      </c>
      <c r="I8" s="299">
        <v>45444</v>
      </c>
      <c r="J8" s="299">
        <v>45474</v>
      </c>
      <c r="K8" s="299">
        <v>45505</v>
      </c>
      <c r="L8" s="299">
        <v>45536</v>
      </c>
      <c r="M8" s="299">
        <v>45566</v>
      </c>
      <c r="N8" s="299">
        <v>45597</v>
      </c>
      <c r="O8" s="299">
        <v>45627</v>
      </c>
      <c r="P8" s="299">
        <v>45658</v>
      </c>
      <c r="Q8" s="299">
        <v>45689</v>
      </c>
      <c r="R8" s="299">
        <v>45717</v>
      </c>
      <c r="S8" s="299">
        <v>45748</v>
      </c>
      <c r="T8" s="299">
        <v>45778</v>
      </c>
      <c r="U8" s="299">
        <v>45809</v>
      </c>
      <c r="V8" s="299">
        <v>45839</v>
      </c>
      <c r="W8" s="299">
        <v>45870</v>
      </c>
      <c r="X8" s="295" t="s">
        <v>4066</v>
      </c>
      <c r="Y8" s="295" t="s">
        <v>4067</v>
      </c>
      <c r="Z8" s="295" t="s">
        <v>4068</v>
      </c>
      <c r="AA8" s="295" t="s">
        <v>4069</v>
      </c>
      <c r="AB8" s="295" t="s">
        <v>4070</v>
      </c>
      <c r="AC8" s="294" t="s">
        <v>4071</v>
      </c>
      <c r="AD8" s="294" t="s">
        <v>4072</v>
      </c>
      <c r="AE8" s="294" t="s">
        <v>4073</v>
      </c>
      <c r="AF8" s="294" t="s">
        <v>4074</v>
      </c>
      <c r="AG8" s="294" t="s">
        <v>4075</v>
      </c>
      <c r="AH8" s="294" t="s">
        <v>4076</v>
      </c>
      <c r="AI8" s="294" t="s">
        <v>4077</v>
      </c>
      <c r="AJ8" s="294" t="s">
        <v>4078</v>
      </c>
      <c r="AK8" s="294" t="s">
        <v>4079</v>
      </c>
      <c r="AL8" s="294" t="s">
        <v>4080</v>
      </c>
      <c r="AM8" s="294" t="s">
        <v>4081</v>
      </c>
      <c r="AN8" s="294" t="s">
        <v>4082</v>
      </c>
      <c r="AO8" s="294" t="s">
        <v>4071</v>
      </c>
      <c r="AP8" s="294" t="s">
        <v>4072</v>
      </c>
      <c r="AQ8" s="294" t="s">
        <v>4073</v>
      </c>
      <c r="AR8" s="294" t="s">
        <v>4074</v>
      </c>
    </row>
    <row r="9" spans="2:45">
      <c r="D9" s="301" t="s">
        <v>4083</v>
      </c>
      <c r="E9" s="302"/>
      <c r="F9" s="302"/>
      <c r="G9" s="303"/>
    </row>
    <row r="10" spans="2:45" ht="15.95" customHeight="1">
      <c r="B10" s="530" t="s">
        <v>4084</v>
      </c>
      <c r="C10" s="304" t="s">
        <v>4085</v>
      </c>
      <c r="D10" s="294" t="s">
        <v>3826</v>
      </c>
      <c r="E10" s="296">
        <v>1</v>
      </c>
      <c r="F10" s="296">
        <v>1</v>
      </c>
      <c r="G10" s="305">
        <v>1</v>
      </c>
      <c r="H10" s="296">
        <v>1</v>
      </c>
      <c r="I10" s="296">
        <v>1</v>
      </c>
      <c r="J10" s="296">
        <v>1</v>
      </c>
      <c r="K10" s="296">
        <v>1</v>
      </c>
      <c r="L10" s="296">
        <v>1</v>
      </c>
      <c r="M10" s="296">
        <v>1</v>
      </c>
      <c r="N10" s="296">
        <v>1</v>
      </c>
      <c r="O10" s="296">
        <v>1</v>
      </c>
      <c r="P10" s="296">
        <v>1</v>
      </c>
      <c r="Q10" s="296">
        <v>1</v>
      </c>
      <c r="R10" s="296">
        <v>1</v>
      </c>
      <c r="S10" s="296">
        <v>1</v>
      </c>
      <c r="T10" s="296">
        <v>1</v>
      </c>
      <c r="U10" s="296">
        <v>1</v>
      </c>
      <c r="X10" s="296">
        <f>MAX(E10:W10)</f>
        <v>1</v>
      </c>
      <c r="Y10" s="296">
        <f>SUM(E10:W10)</f>
        <v>17</v>
      </c>
      <c r="Z10" s="306">
        <v>10200</v>
      </c>
      <c r="AA10" s="306">
        <f t="shared" ref="AA10:AA48" si="0">PRODUCT(Y10:Z10)</f>
        <v>173400</v>
      </c>
      <c r="AB10" s="306">
        <f>+AA10*$AB$6</f>
        <v>260100</v>
      </c>
      <c r="AC10" s="294">
        <f>+(F10+E10)*$Z10*1.5</f>
        <v>30600</v>
      </c>
      <c r="AD10" s="294">
        <f>+G10*$Z10*1.5</f>
        <v>15300</v>
      </c>
      <c r="AE10" s="294">
        <f t="shared" ref="AE10:AR10" si="1">+H10*$Z10*1.5</f>
        <v>15300</v>
      </c>
      <c r="AF10" s="294">
        <f t="shared" si="1"/>
        <v>15300</v>
      </c>
      <c r="AG10" s="294">
        <f t="shared" si="1"/>
        <v>15300</v>
      </c>
      <c r="AH10" s="294">
        <f t="shared" si="1"/>
        <v>15300</v>
      </c>
      <c r="AI10" s="294">
        <f t="shared" si="1"/>
        <v>15300</v>
      </c>
      <c r="AJ10" s="294">
        <f t="shared" si="1"/>
        <v>15300</v>
      </c>
      <c r="AK10" s="294">
        <f t="shared" si="1"/>
        <v>15300</v>
      </c>
      <c r="AL10" s="294">
        <f t="shared" si="1"/>
        <v>15300</v>
      </c>
      <c r="AM10" s="294">
        <f t="shared" si="1"/>
        <v>15300</v>
      </c>
      <c r="AN10" s="294">
        <f t="shared" si="1"/>
        <v>15300</v>
      </c>
      <c r="AO10" s="294">
        <f t="shared" si="1"/>
        <v>15300</v>
      </c>
      <c r="AP10" s="294">
        <f t="shared" si="1"/>
        <v>15300</v>
      </c>
      <c r="AQ10" s="294">
        <f t="shared" si="1"/>
        <v>15300</v>
      </c>
      <c r="AR10" s="294">
        <f t="shared" si="1"/>
        <v>15300</v>
      </c>
      <c r="AS10" s="294">
        <f t="shared" ref="AS10" si="2">+V10*$Z$10*1.5</f>
        <v>0</v>
      </c>
    </row>
    <row r="11" spans="2:45" ht="15.95" customHeight="1">
      <c r="B11" s="530"/>
      <c r="C11" s="304" t="s">
        <v>4085</v>
      </c>
      <c r="D11" s="294" t="s">
        <v>4086</v>
      </c>
      <c r="E11" s="307"/>
      <c r="F11" s="307"/>
      <c r="G11" s="308"/>
      <c r="H11" s="296">
        <v>1</v>
      </c>
      <c r="I11" s="296">
        <v>1</v>
      </c>
      <c r="J11" s="296">
        <v>1</v>
      </c>
      <c r="K11" s="296">
        <v>1</v>
      </c>
      <c r="L11" s="296">
        <v>1</v>
      </c>
      <c r="M11" s="296">
        <v>1</v>
      </c>
      <c r="N11" s="296">
        <v>1</v>
      </c>
      <c r="O11" s="296">
        <v>1</v>
      </c>
      <c r="P11" s="296">
        <v>1</v>
      </c>
      <c r="Q11" s="296">
        <v>1</v>
      </c>
      <c r="R11" s="296">
        <v>1</v>
      </c>
      <c r="S11" s="296">
        <v>1</v>
      </c>
      <c r="T11" s="296">
        <v>1</v>
      </c>
      <c r="U11" s="296">
        <v>1</v>
      </c>
      <c r="X11" s="296">
        <f t="shared" ref="X11:X48" si="3">MAX(E11:W11)</f>
        <v>1</v>
      </c>
      <c r="Y11" s="296">
        <f t="shared" ref="Y11:Y48" si="4">SUM(E11:W11)</f>
        <v>14</v>
      </c>
      <c r="Z11" s="306">
        <v>9000</v>
      </c>
      <c r="AA11" s="306">
        <f t="shared" si="0"/>
        <v>126000</v>
      </c>
      <c r="AB11" s="306">
        <f t="shared" ref="AB11:AB48" si="5">+AA11*$AB$6</f>
        <v>189000</v>
      </c>
      <c r="AC11" s="294">
        <f t="shared" ref="AC11:AC48" si="6">+(F11+E11)*$Z11*1.5</f>
        <v>0</v>
      </c>
      <c r="AD11" s="294">
        <f t="shared" ref="AD11:AD48" si="7">+G11*$Z11*1.5</f>
        <v>0</v>
      </c>
      <c r="AE11" s="294">
        <f t="shared" ref="AE11:AE48" si="8">+H11*$Z11*1.5</f>
        <v>13500</v>
      </c>
      <c r="AF11" s="294">
        <f t="shared" ref="AF11:AF48" si="9">+I11*$Z11*1.5</f>
        <v>13500</v>
      </c>
      <c r="AG11" s="294">
        <f t="shared" ref="AG11:AG48" si="10">+J11*$Z11*1.5</f>
        <v>13500</v>
      </c>
      <c r="AH11" s="294">
        <f t="shared" ref="AH11:AH48" si="11">+K11*$Z11*1.5</f>
        <v>13500</v>
      </c>
      <c r="AI11" s="294">
        <f t="shared" ref="AI11:AI48" si="12">+L11*$Z11*1.5</f>
        <v>13500</v>
      </c>
      <c r="AJ11" s="294">
        <f t="shared" ref="AJ11:AJ48" si="13">+M11*$Z11*1.5</f>
        <v>13500</v>
      </c>
      <c r="AK11" s="294">
        <f t="shared" ref="AK11:AK48" si="14">+N11*$Z11*1.5</f>
        <v>13500</v>
      </c>
      <c r="AL11" s="294">
        <f t="shared" ref="AL11:AL48" si="15">+O11*$Z11*1.5</f>
        <v>13500</v>
      </c>
      <c r="AM11" s="294">
        <f t="shared" ref="AM11:AM48" si="16">+P11*$Z11*1.5</f>
        <v>13500</v>
      </c>
      <c r="AN11" s="294">
        <f t="shared" ref="AN11:AN48" si="17">+Q11*$Z11*1.5</f>
        <v>13500</v>
      </c>
      <c r="AO11" s="294">
        <f t="shared" ref="AO11:AO48" si="18">+R11*$Z11*1.5</f>
        <v>13500</v>
      </c>
      <c r="AP11" s="294">
        <f t="shared" ref="AP11:AP48" si="19">+S11*$Z11*1.5</f>
        <v>13500</v>
      </c>
      <c r="AQ11" s="294">
        <f t="shared" ref="AQ11:AQ48" si="20">+T11*$Z11*1.5</f>
        <v>13500</v>
      </c>
      <c r="AR11" s="294">
        <f t="shared" ref="AR11:AR48" si="21">+U11*$Z11*1.5</f>
        <v>13500</v>
      </c>
      <c r="AS11" s="294">
        <f t="shared" ref="AS11:AS48" si="22">+V11*$Z$10*1.5</f>
        <v>0</v>
      </c>
    </row>
    <row r="12" spans="2:45" ht="15.95" customHeight="1">
      <c r="B12" s="530"/>
      <c r="C12" s="304" t="s">
        <v>4085</v>
      </c>
      <c r="D12" s="294" t="s">
        <v>3839</v>
      </c>
      <c r="E12" s="296">
        <v>1</v>
      </c>
      <c r="F12" s="296">
        <v>1</v>
      </c>
      <c r="G12" s="305">
        <v>1</v>
      </c>
      <c r="H12" s="296">
        <v>1</v>
      </c>
      <c r="I12" s="296">
        <v>1</v>
      </c>
      <c r="J12" s="296">
        <v>1</v>
      </c>
      <c r="K12" s="296">
        <v>1</v>
      </c>
      <c r="L12" s="296">
        <v>1</v>
      </c>
      <c r="M12" s="296">
        <v>1</v>
      </c>
      <c r="N12" s="296">
        <v>1</v>
      </c>
      <c r="O12" s="296">
        <v>1</v>
      </c>
      <c r="P12" s="296">
        <v>1</v>
      </c>
      <c r="Q12" s="296">
        <v>1</v>
      </c>
      <c r="R12" s="296">
        <v>1</v>
      </c>
      <c r="S12" s="307"/>
      <c r="T12" s="307"/>
      <c r="U12" s="307"/>
      <c r="X12" s="296">
        <f t="shared" si="3"/>
        <v>1</v>
      </c>
      <c r="Y12" s="296">
        <f t="shared" si="4"/>
        <v>14</v>
      </c>
      <c r="Z12" s="306">
        <v>7500</v>
      </c>
      <c r="AA12" s="306">
        <f t="shared" si="0"/>
        <v>105000</v>
      </c>
      <c r="AB12" s="306">
        <f t="shared" si="5"/>
        <v>157500</v>
      </c>
      <c r="AC12" s="294">
        <f t="shared" si="6"/>
        <v>22500</v>
      </c>
      <c r="AD12" s="294">
        <f t="shared" si="7"/>
        <v>11250</v>
      </c>
      <c r="AE12" s="294">
        <f t="shared" si="8"/>
        <v>11250</v>
      </c>
      <c r="AF12" s="294">
        <f t="shared" si="9"/>
        <v>11250</v>
      </c>
      <c r="AG12" s="294">
        <f t="shared" si="10"/>
        <v>11250</v>
      </c>
      <c r="AH12" s="294">
        <f t="shared" si="11"/>
        <v>11250</v>
      </c>
      <c r="AI12" s="294">
        <f t="shared" si="12"/>
        <v>11250</v>
      </c>
      <c r="AJ12" s="294">
        <f t="shared" si="13"/>
        <v>11250</v>
      </c>
      <c r="AK12" s="294">
        <f t="shared" si="14"/>
        <v>11250</v>
      </c>
      <c r="AL12" s="294">
        <f t="shared" si="15"/>
        <v>11250</v>
      </c>
      <c r="AM12" s="294">
        <f t="shared" si="16"/>
        <v>11250</v>
      </c>
      <c r="AN12" s="294">
        <f t="shared" si="17"/>
        <v>11250</v>
      </c>
      <c r="AO12" s="294">
        <f t="shared" si="18"/>
        <v>11250</v>
      </c>
      <c r="AP12" s="294">
        <f t="shared" si="19"/>
        <v>0</v>
      </c>
      <c r="AQ12" s="294">
        <f t="shared" si="20"/>
        <v>0</v>
      </c>
      <c r="AR12" s="294">
        <f t="shared" si="21"/>
        <v>0</v>
      </c>
      <c r="AS12" s="294">
        <f t="shared" si="22"/>
        <v>0</v>
      </c>
    </row>
    <row r="13" spans="2:45" ht="15.95" customHeight="1" thickBot="1">
      <c r="B13" s="531"/>
      <c r="C13" s="309" t="s">
        <v>4085</v>
      </c>
      <c r="D13" s="310" t="s">
        <v>3845</v>
      </c>
      <c r="E13" s="313">
        <v>1</v>
      </c>
      <c r="F13" s="313">
        <v>1</v>
      </c>
      <c r="G13" s="312">
        <v>1</v>
      </c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13"/>
      <c r="W13" s="310"/>
      <c r="X13" s="296">
        <f t="shared" si="3"/>
        <v>1</v>
      </c>
      <c r="Y13" s="296">
        <f t="shared" si="4"/>
        <v>3</v>
      </c>
      <c r="Z13" s="306">
        <v>8000</v>
      </c>
      <c r="AA13" s="306">
        <f t="shared" si="0"/>
        <v>24000</v>
      </c>
      <c r="AB13" s="306">
        <f t="shared" si="5"/>
        <v>36000</v>
      </c>
      <c r="AC13" s="294">
        <f t="shared" si="6"/>
        <v>24000</v>
      </c>
      <c r="AD13" s="294">
        <f t="shared" si="7"/>
        <v>12000</v>
      </c>
      <c r="AE13" s="294">
        <f t="shared" si="8"/>
        <v>0</v>
      </c>
      <c r="AF13" s="294">
        <f t="shared" si="9"/>
        <v>0</v>
      </c>
      <c r="AG13" s="294">
        <f t="shared" si="10"/>
        <v>0</v>
      </c>
      <c r="AH13" s="294">
        <f t="shared" si="11"/>
        <v>0</v>
      </c>
      <c r="AI13" s="294">
        <f t="shared" si="12"/>
        <v>0</v>
      </c>
      <c r="AJ13" s="294">
        <f t="shared" si="13"/>
        <v>0</v>
      </c>
      <c r="AK13" s="294">
        <f t="shared" si="14"/>
        <v>0</v>
      </c>
      <c r="AL13" s="294">
        <f t="shared" si="15"/>
        <v>0</v>
      </c>
      <c r="AM13" s="294">
        <f t="shared" si="16"/>
        <v>0</v>
      </c>
      <c r="AN13" s="294">
        <f t="shared" si="17"/>
        <v>0</v>
      </c>
      <c r="AO13" s="294">
        <f t="shared" si="18"/>
        <v>0</v>
      </c>
      <c r="AP13" s="294">
        <f t="shared" si="19"/>
        <v>0</v>
      </c>
      <c r="AQ13" s="294">
        <f t="shared" si="20"/>
        <v>0</v>
      </c>
      <c r="AR13" s="294">
        <f t="shared" si="21"/>
        <v>0</v>
      </c>
      <c r="AS13" s="294">
        <f t="shared" si="22"/>
        <v>0</v>
      </c>
    </row>
    <row r="14" spans="2:45" ht="15.95" customHeight="1">
      <c r="B14" s="532" t="s">
        <v>4087</v>
      </c>
      <c r="C14" s="314" t="s">
        <v>4088</v>
      </c>
      <c r="D14" s="315" t="s">
        <v>3854</v>
      </c>
      <c r="E14" s="316">
        <v>1</v>
      </c>
      <c r="F14" s="316">
        <v>1</v>
      </c>
      <c r="G14" s="317">
        <v>1</v>
      </c>
      <c r="H14" s="316">
        <v>1</v>
      </c>
      <c r="I14" s="316">
        <v>1</v>
      </c>
      <c r="J14" s="316">
        <v>1</v>
      </c>
      <c r="K14" s="316">
        <v>1</v>
      </c>
      <c r="L14" s="316">
        <v>1</v>
      </c>
      <c r="M14" s="316">
        <v>1</v>
      </c>
      <c r="N14" s="316">
        <v>1</v>
      </c>
      <c r="O14" s="316">
        <v>1</v>
      </c>
      <c r="P14" s="316">
        <v>1</v>
      </c>
      <c r="Q14" s="316">
        <v>1</v>
      </c>
      <c r="R14" s="316">
        <v>1</v>
      </c>
      <c r="S14" s="316">
        <v>1</v>
      </c>
      <c r="T14" s="316">
        <v>1</v>
      </c>
      <c r="U14" s="316">
        <v>1</v>
      </c>
      <c r="V14" s="316"/>
      <c r="W14" s="315"/>
      <c r="X14" s="296">
        <f t="shared" si="3"/>
        <v>1</v>
      </c>
      <c r="Y14" s="296">
        <f t="shared" si="4"/>
        <v>17</v>
      </c>
      <c r="Z14" s="306">
        <v>12000</v>
      </c>
      <c r="AA14" s="306">
        <f t="shared" si="0"/>
        <v>204000</v>
      </c>
      <c r="AB14" s="306">
        <f t="shared" si="5"/>
        <v>306000</v>
      </c>
      <c r="AC14" s="294">
        <f t="shared" si="6"/>
        <v>36000</v>
      </c>
      <c r="AD14" s="294">
        <f t="shared" si="7"/>
        <v>18000</v>
      </c>
      <c r="AE14" s="294">
        <f t="shared" si="8"/>
        <v>18000</v>
      </c>
      <c r="AF14" s="294">
        <f t="shared" si="9"/>
        <v>18000</v>
      </c>
      <c r="AG14" s="294">
        <f t="shared" si="10"/>
        <v>18000</v>
      </c>
      <c r="AH14" s="294">
        <f t="shared" si="11"/>
        <v>18000</v>
      </c>
      <c r="AI14" s="294">
        <f t="shared" si="12"/>
        <v>18000</v>
      </c>
      <c r="AJ14" s="294">
        <f t="shared" si="13"/>
        <v>18000</v>
      </c>
      <c r="AK14" s="294">
        <f t="shared" si="14"/>
        <v>18000</v>
      </c>
      <c r="AL14" s="294">
        <f t="shared" si="15"/>
        <v>18000</v>
      </c>
      <c r="AM14" s="294">
        <f t="shared" si="16"/>
        <v>18000</v>
      </c>
      <c r="AN14" s="294">
        <f t="shared" si="17"/>
        <v>18000</v>
      </c>
      <c r="AO14" s="294">
        <f t="shared" si="18"/>
        <v>18000</v>
      </c>
      <c r="AP14" s="294">
        <f t="shared" si="19"/>
        <v>18000</v>
      </c>
      <c r="AQ14" s="294">
        <f t="shared" si="20"/>
        <v>18000</v>
      </c>
      <c r="AR14" s="294">
        <f t="shared" si="21"/>
        <v>18000</v>
      </c>
      <c r="AS14" s="294">
        <f t="shared" si="22"/>
        <v>0</v>
      </c>
    </row>
    <row r="15" spans="2:45" ht="15.95" customHeight="1">
      <c r="B15" s="530"/>
      <c r="C15" s="304" t="s">
        <v>4088</v>
      </c>
      <c r="D15" s="294" t="s">
        <v>4089</v>
      </c>
      <c r="E15" s="307"/>
      <c r="F15" s="296">
        <v>1</v>
      </c>
      <c r="G15" s="305">
        <v>1</v>
      </c>
      <c r="H15" s="296">
        <v>1</v>
      </c>
      <c r="I15" s="296">
        <v>1</v>
      </c>
      <c r="J15" s="296">
        <v>1</v>
      </c>
      <c r="K15" s="296">
        <v>1</v>
      </c>
      <c r="L15" s="296">
        <v>1</v>
      </c>
      <c r="M15" s="296">
        <v>1</v>
      </c>
      <c r="N15" s="296">
        <v>1</v>
      </c>
      <c r="O15" s="296">
        <v>1</v>
      </c>
      <c r="P15" s="296">
        <v>1</v>
      </c>
      <c r="Q15" s="296">
        <v>1</v>
      </c>
      <c r="R15" s="296">
        <v>1</v>
      </c>
      <c r="S15" s="296">
        <v>1</v>
      </c>
      <c r="T15" s="296">
        <v>1</v>
      </c>
      <c r="U15" s="296">
        <v>1</v>
      </c>
      <c r="X15" s="296">
        <f t="shared" si="3"/>
        <v>1</v>
      </c>
      <c r="Y15" s="296">
        <f t="shared" si="4"/>
        <v>16</v>
      </c>
      <c r="Z15" s="306">
        <v>9000</v>
      </c>
      <c r="AA15" s="306">
        <f t="shared" si="0"/>
        <v>144000</v>
      </c>
      <c r="AB15" s="306">
        <f t="shared" si="5"/>
        <v>216000</v>
      </c>
      <c r="AC15" s="294">
        <f t="shared" si="6"/>
        <v>13500</v>
      </c>
      <c r="AD15" s="294">
        <f t="shared" si="7"/>
        <v>13500</v>
      </c>
      <c r="AE15" s="294">
        <f t="shared" si="8"/>
        <v>13500</v>
      </c>
      <c r="AF15" s="294">
        <f t="shared" si="9"/>
        <v>13500</v>
      </c>
      <c r="AG15" s="294">
        <f t="shared" si="10"/>
        <v>13500</v>
      </c>
      <c r="AH15" s="294">
        <f t="shared" si="11"/>
        <v>13500</v>
      </c>
      <c r="AI15" s="294">
        <f t="shared" si="12"/>
        <v>13500</v>
      </c>
      <c r="AJ15" s="294">
        <f t="shared" si="13"/>
        <v>13500</v>
      </c>
      <c r="AK15" s="294">
        <f t="shared" si="14"/>
        <v>13500</v>
      </c>
      <c r="AL15" s="294">
        <f t="shared" si="15"/>
        <v>13500</v>
      </c>
      <c r="AM15" s="294">
        <f t="shared" si="16"/>
        <v>13500</v>
      </c>
      <c r="AN15" s="294">
        <f t="shared" si="17"/>
        <v>13500</v>
      </c>
      <c r="AO15" s="294">
        <f t="shared" si="18"/>
        <v>13500</v>
      </c>
      <c r="AP15" s="294">
        <f t="shared" si="19"/>
        <v>13500</v>
      </c>
      <c r="AQ15" s="294">
        <f t="shared" si="20"/>
        <v>13500</v>
      </c>
      <c r="AR15" s="294">
        <f t="shared" si="21"/>
        <v>13500</v>
      </c>
      <c r="AS15" s="294">
        <f t="shared" si="22"/>
        <v>0</v>
      </c>
    </row>
    <row r="16" spans="2:45" ht="15.95" customHeight="1">
      <c r="B16" s="530"/>
      <c r="C16" s="304" t="s">
        <v>4088</v>
      </c>
      <c r="D16" s="294" t="s">
        <v>3865</v>
      </c>
      <c r="E16" s="307"/>
      <c r="F16" s="296">
        <v>1</v>
      </c>
      <c r="G16" s="305">
        <v>1</v>
      </c>
      <c r="H16" s="296">
        <v>1</v>
      </c>
      <c r="I16" s="296">
        <v>1</v>
      </c>
      <c r="J16" s="296">
        <v>1</v>
      </c>
      <c r="K16" s="296">
        <v>1</v>
      </c>
      <c r="L16" s="296">
        <v>1</v>
      </c>
      <c r="M16" s="296">
        <v>1</v>
      </c>
      <c r="N16" s="296">
        <v>1</v>
      </c>
      <c r="O16" s="296">
        <v>1</v>
      </c>
      <c r="P16" s="296">
        <v>1</v>
      </c>
      <c r="Q16" s="296">
        <v>1</v>
      </c>
      <c r="R16" s="296">
        <v>1</v>
      </c>
      <c r="S16" s="296">
        <v>1</v>
      </c>
      <c r="T16" s="296">
        <v>1</v>
      </c>
      <c r="U16" s="296">
        <v>1</v>
      </c>
      <c r="X16" s="296">
        <f t="shared" si="3"/>
        <v>1</v>
      </c>
      <c r="Y16" s="296">
        <f t="shared" si="4"/>
        <v>16</v>
      </c>
      <c r="Z16" s="306">
        <v>6000</v>
      </c>
      <c r="AA16" s="306">
        <f t="shared" si="0"/>
        <v>96000</v>
      </c>
      <c r="AB16" s="306">
        <f t="shared" si="5"/>
        <v>144000</v>
      </c>
      <c r="AC16" s="294">
        <f t="shared" si="6"/>
        <v>9000</v>
      </c>
      <c r="AD16" s="294">
        <f t="shared" si="7"/>
        <v>9000</v>
      </c>
      <c r="AE16" s="294">
        <f t="shared" si="8"/>
        <v>9000</v>
      </c>
      <c r="AF16" s="294">
        <f t="shared" si="9"/>
        <v>9000</v>
      </c>
      <c r="AG16" s="294">
        <f t="shared" si="10"/>
        <v>9000</v>
      </c>
      <c r="AH16" s="294">
        <f t="shared" si="11"/>
        <v>9000</v>
      </c>
      <c r="AI16" s="294">
        <f t="shared" si="12"/>
        <v>9000</v>
      </c>
      <c r="AJ16" s="294">
        <f t="shared" si="13"/>
        <v>9000</v>
      </c>
      <c r="AK16" s="294">
        <f t="shared" si="14"/>
        <v>9000</v>
      </c>
      <c r="AL16" s="294">
        <f t="shared" si="15"/>
        <v>9000</v>
      </c>
      <c r="AM16" s="294">
        <f t="shared" si="16"/>
        <v>9000</v>
      </c>
      <c r="AN16" s="294">
        <f t="shared" si="17"/>
        <v>9000</v>
      </c>
      <c r="AO16" s="294">
        <f t="shared" si="18"/>
        <v>9000</v>
      </c>
      <c r="AP16" s="294">
        <f t="shared" si="19"/>
        <v>9000</v>
      </c>
      <c r="AQ16" s="294">
        <f t="shared" si="20"/>
        <v>9000</v>
      </c>
      <c r="AR16" s="294">
        <f t="shared" si="21"/>
        <v>9000</v>
      </c>
      <c r="AS16" s="294">
        <f t="shared" si="22"/>
        <v>0</v>
      </c>
    </row>
    <row r="17" spans="2:45" ht="15.95" customHeight="1">
      <c r="B17" s="530"/>
      <c r="C17" s="304" t="s">
        <v>4088</v>
      </c>
      <c r="D17" s="294" t="s">
        <v>3869</v>
      </c>
      <c r="E17" s="307"/>
      <c r="F17" s="296">
        <v>1</v>
      </c>
      <c r="G17" s="305">
        <v>1</v>
      </c>
      <c r="H17" s="296">
        <v>1</v>
      </c>
      <c r="I17" s="296">
        <v>1</v>
      </c>
      <c r="J17" s="296">
        <v>1</v>
      </c>
      <c r="K17" s="296">
        <v>1</v>
      </c>
      <c r="L17" s="296">
        <v>1</v>
      </c>
      <c r="M17" s="296">
        <v>1</v>
      </c>
      <c r="N17" s="296">
        <v>1</v>
      </c>
      <c r="O17" s="296">
        <v>1</v>
      </c>
      <c r="P17" s="296">
        <v>1</v>
      </c>
      <c r="Q17" s="296">
        <v>1</v>
      </c>
      <c r="R17" s="296">
        <v>1</v>
      </c>
      <c r="S17" s="296">
        <v>1</v>
      </c>
      <c r="T17" s="296">
        <v>1</v>
      </c>
      <c r="U17" s="296">
        <v>1</v>
      </c>
      <c r="X17" s="296">
        <f t="shared" si="3"/>
        <v>1</v>
      </c>
      <c r="Y17" s="296">
        <f t="shared" si="4"/>
        <v>16</v>
      </c>
      <c r="Z17" s="306">
        <v>5000</v>
      </c>
      <c r="AA17" s="306">
        <f t="shared" si="0"/>
        <v>80000</v>
      </c>
      <c r="AB17" s="306">
        <f t="shared" si="5"/>
        <v>120000</v>
      </c>
      <c r="AC17" s="294">
        <f t="shared" si="6"/>
        <v>7500</v>
      </c>
      <c r="AD17" s="294">
        <f t="shared" si="7"/>
        <v>7500</v>
      </c>
      <c r="AE17" s="294">
        <f t="shared" si="8"/>
        <v>7500</v>
      </c>
      <c r="AF17" s="294">
        <f t="shared" si="9"/>
        <v>7500</v>
      </c>
      <c r="AG17" s="294">
        <f t="shared" si="10"/>
        <v>7500</v>
      </c>
      <c r="AH17" s="294">
        <f t="shared" si="11"/>
        <v>7500</v>
      </c>
      <c r="AI17" s="294">
        <f t="shared" si="12"/>
        <v>7500</v>
      </c>
      <c r="AJ17" s="294">
        <f t="shared" si="13"/>
        <v>7500</v>
      </c>
      <c r="AK17" s="294">
        <f t="shared" si="14"/>
        <v>7500</v>
      </c>
      <c r="AL17" s="294">
        <f t="shared" si="15"/>
        <v>7500</v>
      </c>
      <c r="AM17" s="294">
        <f t="shared" si="16"/>
        <v>7500</v>
      </c>
      <c r="AN17" s="294">
        <f t="shared" si="17"/>
        <v>7500</v>
      </c>
      <c r="AO17" s="294">
        <f t="shared" si="18"/>
        <v>7500</v>
      </c>
      <c r="AP17" s="294">
        <f t="shared" si="19"/>
        <v>7500</v>
      </c>
      <c r="AQ17" s="294">
        <f t="shared" si="20"/>
        <v>7500</v>
      </c>
      <c r="AR17" s="294">
        <f t="shared" si="21"/>
        <v>7500</v>
      </c>
      <c r="AS17" s="294">
        <f t="shared" si="22"/>
        <v>0</v>
      </c>
    </row>
    <row r="18" spans="2:45" ht="15.95" customHeight="1">
      <c r="B18" s="530"/>
      <c r="C18" s="304" t="s">
        <v>4088</v>
      </c>
      <c r="D18" s="294" t="s">
        <v>3871</v>
      </c>
      <c r="E18" s="307"/>
      <c r="F18" s="307"/>
      <c r="G18" s="305">
        <v>1</v>
      </c>
      <c r="H18" s="296">
        <v>1</v>
      </c>
      <c r="I18" s="296">
        <v>1</v>
      </c>
      <c r="J18" s="296">
        <v>1</v>
      </c>
      <c r="K18" s="296">
        <v>1</v>
      </c>
      <c r="L18" s="296">
        <v>1</v>
      </c>
      <c r="M18" s="296">
        <v>1</v>
      </c>
      <c r="N18" s="296">
        <v>1</v>
      </c>
      <c r="O18" s="296">
        <v>1</v>
      </c>
      <c r="P18" s="296">
        <v>1</v>
      </c>
      <c r="Q18" s="296">
        <v>1</v>
      </c>
      <c r="R18" s="296">
        <v>1</v>
      </c>
      <c r="S18" s="296">
        <v>1</v>
      </c>
      <c r="T18" s="296">
        <v>1</v>
      </c>
      <c r="U18" s="296">
        <v>1</v>
      </c>
      <c r="X18" s="296">
        <f t="shared" si="3"/>
        <v>1</v>
      </c>
      <c r="Y18" s="296">
        <f t="shared" si="4"/>
        <v>15</v>
      </c>
      <c r="Z18" s="306">
        <v>6500</v>
      </c>
      <c r="AA18" s="306">
        <f t="shared" si="0"/>
        <v>97500</v>
      </c>
      <c r="AB18" s="306">
        <f t="shared" si="5"/>
        <v>146250</v>
      </c>
      <c r="AC18" s="294">
        <f t="shared" si="6"/>
        <v>0</v>
      </c>
      <c r="AD18" s="294">
        <f t="shared" si="7"/>
        <v>9750</v>
      </c>
      <c r="AE18" s="294">
        <f t="shared" si="8"/>
        <v>9750</v>
      </c>
      <c r="AF18" s="294">
        <f t="shared" si="9"/>
        <v>9750</v>
      </c>
      <c r="AG18" s="294">
        <f t="shared" si="10"/>
        <v>9750</v>
      </c>
      <c r="AH18" s="294">
        <f t="shared" si="11"/>
        <v>9750</v>
      </c>
      <c r="AI18" s="294">
        <f t="shared" si="12"/>
        <v>9750</v>
      </c>
      <c r="AJ18" s="294">
        <f t="shared" si="13"/>
        <v>9750</v>
      </c>
      <c r="AK18" s="294">
        <f t="shared" si="14"/>
        <v>9750</v>
      </c>
      <c r="AL18" s="294">
        <f t="shared" si="15"/>
        <v>9750</v>
      </c>
      <c r="AM18" s="294">
        <f t="shared" si="16"/>
        <v>9750</v>
      </c>
      <c r="AN18" s="294">
        <f t="shared" si="17"/>
        <v>9750</v>
      </c>
      <c r="AO18" s="294">
        <f t="shared" si="18"/>
        <v>9750</v>
      </c>
      <c r="AP18" s="294">
        <f t="shared" si="19"/>
        <v>9750</v>
      </c>
      <c r="AQ18" s="294">
        <f t="shared" si="20"/>
        <v>9750</v>
      </c>
      <c r="AR18" s="294">
        <f t="shared" si="21"/>
        <v>9750</v>
      </c>
      <c r="AS18" s="294">
        <f t="shared" si="22"/>
        <v>0</v>
      </c>
    </row>
    <row r="19" spans="2:45" ht="15.95" customHeight="1">
      <c r="B19" s="530"/>
      <c r="C19" s="304" t="s">
        <v>4088</v>
      </c>
      <c r="D19" s="294" t="s">
        <v>3875</v>
      </c>
      <c r="E19" s="307"/>
      <c r="F19" s="307"/>
      <c r="G19" s="308"/>
      <c r="H19" s="296">
        <v>1</v>
      </c>
      <c r="I19" s="296">
        <v>1</v>
      </c>
      <c r="J19" s="296">
        <v>1</v>
      </c>
      <c r="K19" s="296">
        <v>1</v>
      </c>
      <c r="L19" s="296">
        <v>1</v>
      </c>
      <c r="M19" s="296">
        <v>1</v>
      </c>
      <c r="N19" s="296">
        <v>1</v>
      </c>
      <c r="O19" s="296">
        <v>1</v>
      </c>
      <c r="P19" s="296">
        <v>1</v>
      </c>
      <c r="Q19" s="296">
        <v>1</v>
      </c>
      <c r="R19" s="296">
        <v>1</v>
      </c>
      <c r="S19" s="307"/>
      <c r="T19" s="307"/>
      <c r="U19" s="307"/>
      <c r="X19" s="296">
        <f t="shared" si="3"/>
        <v>1</v>
      </c>
      <c r="Y19" s="296">
        <f t="shared" si="4"/>
        <v>11</v>
      </c>
      <c r="Z19" s="306">
        <v>7200</v>
      </c>
      <c r="AA19" s="306">
        <f t="shared" si="0"/>
        <v>79200</v>
      </c>
      <c r="AB19" s="306">
        <f t="shared" si="5"/>
        <v>118800</v>
      </c>
      <c r="AC19" s="294">
        <f t="shared" si="6"/>
        <v>0</v>
      </c>
      <c r="AD19" s="294">
        <f t="shared" si="7"/>
        <v>0</v>
      </c>
      <c r="AE19" s="294">
        <f t="shared" si="8"/>
        <v>10800</v>
      </c>
      <c r="AF19" s="294">
        <f t="shared" si="9"/>
        <v>10800</v>
      </c>
      <c r="AG19" s="294">
        <f t="shared" si="10"/>
        <v>10800</v>
      </c>
      <c r="AH19" s="294">
        <f t="shared" si="11"/>
        <v>10800</v>
      </c>
      <c r="AI19" s="294">
        <f t="shared" si="12"/>
        <v>10800</v>
      </c>
      <c r="AJ19" s="294">
        <f t="shared" si="13"/>
        <v>10800</v>
      </c>
      <c r="AK19" s="294">
        <f t="shared" si="14"/>
        <v>10800</v>
      </c>
      <c r="AL19" s="294">
        <f t="shared" si="15"/>
        <v>10800</v>
      </c>
      <c r="AM19" s="294">
        <f t="shared" si="16"/>
        <v>10800</v>
      </c>
      <c r="AN19" s="294">
        <f t="shared" si="17"/>
        <v>10800</v>
      </c>
      <c r="AO19" s="294">
        <f t="shared" si="18"/>
        <v>10800</v>
      </c>
      <c r="AP19" s="294">
        <f t="shared" si="19"/>
        <v>0</v>
      </c>
      <c r="AQ19" s="294">
        <f t="shared" si="20"/>
        <v>0</v>
      </c>
      <c r="AR19" s="294">
        <f t="shared" si="21"/>
        <v>0</v>
      </c>
      <c r="AS19" s="294">
        <f t="shared" si="22"/>
        <v>0</v>
      </c>
    </row>
    <row r="20" spans="2:45" ht="15.95" customHeight="1">
      <c r="B20" s="530"/>
      <c r="C20" s="304" t="s">
        <v>4090</v>
      </c>
      <c r="D20" s="294" t="s">
        <v>3880</v>
      </c>
      <c r="E20" s="307"/>
      <c r="F20" s="307"/>
      <c r="G20" s="308"/>
      <c r="H20" s="307"/>
      <c r="I20" s="296">
        <v>1</v>
      </c>
      <c r="J20" s="296">
        <v>1</v>
      </c>
      <c r="K20" s="296">
        <v>1</v>
      </c>
      <c r="L20" s="296">
        <v>1</v>
      </c>
      <c r="M20" s="296">
        <v>1</v>
      </c>
      <c r="N20" s="296">
        <v>1</v>
      </c>
      <c r="O20" s="296">
        <v>1</v>
      </c>
      <c r="P20" s="296">
        <v>1</v>
      </c>
      <c r="Q20" s="296">
        <v>1</v>
      </c>
      <c r="R20" s="296">
        <v>1</v>
      </c>
      <c r="S20" s="296">
        <v>1</v>
      </c>
      <c r="T20" s="296">
        <v>1</v>
      </c>
      <c r="U20" s="307"/>
      <c r="X20" s="296">
        <f t="shared" si="3"/>
        <v>1</v>
      </c>
      <c r="Y20" s="296">
        <f t="shared" si="4"/>
        <v>12</v>
      </c>
      <c r="Z20" s="306">
        <v>5000</v>
      </c>
      <c r="AA20" s="306">
        <f t="shared" si="0"/>
        <v>60000</v>
      </c>
      <c r="AB20" s="306">
        <f t="shared" si="5"/>
        <v>90000</v>
      </c>
      <c r="AC20" s="294">
        <f t="shared" si="6"/>
        <v>0</v>
      </c>
      <c r="AD20" s="294">
        <f t="shared" si="7"/>
        <v>0</v>
      </c>
      <c r="AE20" s="294">
        <f t="shared" si="8"/>
        <v>0</v>
      </c>
      <c r="AF20" s="294">
        <f t="shared" si="9"/>
        <v>7500</v>
      </c>
      <c r="AG20" s="294">
        <f t="shared" si="10"/>
        <v>7500</v>
      </c>
      <c r="AH20" s="294">
        <f t="shared" si="11"/>
        <v>7500</v>
      </c>
      <c r="AI20" s="294">
        <f t="shared" si="12"/>
        <v>7500</v>
      </c>
      <c r="AJ20" s="294">
        <f t="shared" si="13"/>
        <v>7500</v>
      </c>
      <c r="AK20" s="294">
        <f t="shared" si="14"/>
        <v>7500</v>
      </c>
      <c r="AL20" s="294">
        <f t="shared" si="15"/>
        <v>7500</v>
      </c>
      <c r="AM20" s="294">
        <f t="shared" si="16"/>
        <v>7500</v>
      </c>
      <c r="AN20" s="294">
        <f t="shared" si="17"/>
        <v>7500</v>
      </c>
      <c r="AO20" s="294">
        <f t="shared" si="18"/>
        <v>7500</v>
      </c>
      <c r="AP20" s="294">
        <f t="shared" si="19"/>
        <v>7500</v>
      </c>
      <c r="AQ20" s="294">
        <f t="shared" si="20"/>
        <v>7500</v>
      </c>
      <c r="AR20" s="294">
        <f t="shared" si="21"/>
        <v>0</v>
      </c>
      <c r="AS20" s="294">
        <f t="shared" si="22"/>
        <v>0</v>
      </c>
    </row>
    <row r="21" spans="2:45" ht="15.95" customHeight="1">
      <c r="B21" s="530"/>
      <c r="C21" s="304" t="s">
        <v>4090</v>
      </c>
      <c r="D21" s="294" t="s">
        <v>4091</v>
      </c>
      <c r="E21" s="307"/>
      <c r="F21" s="296">
        <v>1</v>
      </c>
      <c r="G21" s="305">
        <v>1</v>
      </c>
      <c r="H21" s="296">
        <v>1</v>
      </c>
      <c r="I21" s="296">
        <v>1</v>
      </c>
      <c r="J21" s="296">
        <v>1</v>
      </c>
      <c r="K21" s="296">
        <v>1</v>
      </c>
      <c r="L21" s="296">
        <v>1</v>
      </c>
      <c r="M21" s="296">
        <v>1</v>
      </c>
      <c r="N21" s="296">
        <v>1</v>
      </c>
      <c r="O21" s="296">
        <v>1</v>
      </c>
      <c r="P21" s="296">
        <v>1</v>
      </c>
      <c r="Q21" s="296">
        <v>1</v>
      </c>
      <c r="R21" s="296">
        <v>1</v>
      </c>
      <c r="S21" s="296">
        <v>1</v>
      </c>
      <c r="T21" s="296">
        <v>1</v>
      </c>
      <c r="U21" s="296">
        <v>1</v>
      </c>
      <c r="X21" s="296">
        <f t="shared" si="3"/>
        <v>1</v>
      </c>
      <c r="Y21" s="296">
        <f t="shared" si="4"/>
        <v>16</v>
      </c>
      <c r="Z21" s="306">
        <v>7000</v>
      </c>
      <c r="AA21" s="306">
        <f t="shared" si="0"/>
        <v>112000</v>
      </c>
      <c r="AB21" s="306">
        <f t="shared" si="5"/>
        <v>168000</v>
      </c>
      <c r="AC21" s="294">
        <f t="shared" si="6"/>
        <v>10500</v>
      </c>
      <c r="AD21" s="294">
        <f t="shared" si="7"/>
        <v>10500</v>
      </c>
      <c r="AE21" s="294">
        <f t="shared" si="8"/>
        <v>10500</v>
      </c>
      <c r="AF21" s="294">
        <f t="shared" si="9"/>
        <v>10500</v>
      </c>
      <c r="AG21" s="294">
        <f t="shared" si="10"/>
        <v>10500</v>
      </c>
      <c r="AH21" s="294">
        <f t="shared" si="11"/>
        <v>10500</v>
      </c>
      <c r="AI21" s="294">
        <f t="shared" si="12"/>
        <v>10500</v>
      </c>
      <c r="AJ21" s="294">
        <f t="shared" si="13"/>
        <v>10500</v>
      </c>
      <c r="AK21" s="294">
        <f t="shared" si="14"/>
        <v>10500</v>
      </c>
      <c r="AL21" s="294">
        <f t="shared" si="15"/>
        <v>10500</v>
      </c>
      <c r="AM21" s="294">
        <f t="shared" si="16"/>
        <v>10500</v>
      </c>
      <c r="AN21" s="294">
        <f t="shared" si="17"/>
        <v>10500</v>
      </c>
      <c r="AO21" s="294">
        <f t="shared" si="18"/>
        <v>10500</v>
      </c>
      <c r="AP21" s="294">
        <f t="shared" si="19"/>
        <v>10500</v>
      </c>
      <c r="AQ21" s="294">
        <f t="shared" si="20"/>
        <v>10500</v>
      </c>
      <c r="AR21" s="294">
        <f t="shared" si="21"/>
        <v>10500</v>
      </c>
      <c r="AS21" s="294">
        <f t="shared" si="22"/>
        <v>0</v>
      </c>
    </row>
    <row r="22" spans="2:45" ht="15.95" customHeight="1">
      <c r="B22" s="530"/>
      <c r="C22" s="304" t="s">
        <v>4090</v>
      </c>
      <c r="D22" s="294" t="s">
        <v>3887</v>
      </c>
      <c r="E22" s="307"/>
      <c r="F22" s="307"/>
      <c r="G22" s="308"/>
      <c r="H22" s="318"/>
      <c r="I22" s="296">
        <v>1</v>
      </c>
      <c r="J22" s="296">
        <v>1</v>
      </c>
      <c r="K22" s="296">
        <v>1</v>
      </c>
      <c r="L22" s="296">
        <v>1</v>
      </c>
      <c r="M22" s="296">
        <v>1</v>
      </c>
      <c r="N22" s="296">
        <v>1</v>
      </c>
      <c r="O22" s="296">
        <v>1</v>
      </c>
      <c r="P22" s="296">
        <v>1</v>
      </c>
      <c r="Q22" s="296">
        <v>1</v>
      </c>
      <c r="R22" s="296">
        <v>1</v>
      </c>
      <c r="S22" s="307"/>
      <c r="T22" s="307"/>
      <c r="U22" s="307"/>
      <c r="X22" s="296">
        <f t="shared" si="3"/>
        <v>1</v>
      </c>
      <c r="Y22" s="296">
        <f t="shared" si="4"/>
        <v>10</v>
      </c>
      <c r="Z22" s="306">
        <v>3500</v>
      </c>
      <c r="AA22" s="306">
        <f t="shared" si="0"/>
        <v>35000</v>
      </c>
      <c r="AB22" s="306">
        <f t="shared" si="5"/>
        <v>52500</v>
      </c>
      <c r="AC22" s="294">
        <f t="shared" si="6"/>
        <v>0</v>
      </c>
      <c r="AD22" s="294">
        <f t="shared" si="7"/>
        <v>0</v>
      </c>
      <c r="AE22" s="294">
        <f t="shared" si="8"/>
        <v>0</v>
      </c>
      <c r="AF22" s="294">
        <f t="shared" si="9"/>
        <v>5250</v>
      </c>
      <c r="AG22" s="294">
        <f t="shared" si="10"/>
        <v>5250</v>
      </c>
      <c r="AH22" s="294">
        <f t="shared" si="11"/>
        <v>5250</v>
      </c>
      <c r="AI22" s="294">
        <f t="shared" si="12"/>
        <v>5250</v>
      </c>
      <c r="AJ22" s="294">
        <f t="shared" si="13"/>
        <v>5250</v>
      </c>
      <c r="AK22" s="294">
        <f t="shared" si="14"/>
        <v>5250</v>
      </c>
      <c r="AL22" s="294">
        <f t="shared" si="15"/>
        <v>5250</v>
      </c>
      <c r="AM22" s="294">
        <f t="shared" si="16"/>
        <v>5250</v>
      </c>
      <c r="AN22" s="294">
        <f t="shared" si="17"/>
        <v>5250</v>
      </c>
      <c r="AO22" s="294">
        <f t="shared" si="18"/>
        <v>5250</v>
      </c>
      <c r="AP22" s="294">
        <f t="shared" si="19"/>
        <v>0</v>
      </c>
      <c r="AQ22" s="294">
        <f t="shared" si="20"/>
        <v>0</v>
      </c>
      <c r="AR22" s="294">
        <f t="shared" si="21"/>
        <v>0</v>
      </c>
      <c r="AS22" s="294">
        <f t="shared" si="22"/>
        <v>0</v>
      </c>
    </row>
    <row r="23" spans="2:45" ht="15.95" customHeight="1">
      <c r="B23" s="530"/>
      <c r="C23" s="304" t="s">
        <v>4090</v>
      </c>
      <c r="D23" s="294" t="s">
        <v>3889</v>
      </c>
      <c r="E23" s="307"/>
      <c r="F23" s="307"/>
      <c r="G23" s="308"/>
      <c r="H23" s="318"/>
      <c r="I23" s="296">
        <v>1</v>
      </c>
      <c r="J23" s="296">
        <v>1</v>
      </c>
      <c r="K23" s="296">
        <v>1</v>
      </c>
      <c r="L23" s="296">
        <v>1</v>
      </c>
      <c r="M23" s="296">
        <v>1</v>
      </c>
      <c r="N23" s="296">
        <v>1</v>
      </c>
      <c r="O23" s="296">
        <v>1</v>
      </c>
      <c r="P23" s="296">
        <v>1</v>
      </c>
      <c r="Q23" s="296">
        <v>1</v>
      </c>
      <c r="R23" s="296">
        <v>1</v>
      </c>
      <c r="S23" s="307"/>
      <c r="T23" s="307"/>
      <c r="U23" s="307"/>
      <c r="X23" s="296">
        <f t="shared" si="3"/>
        <v>1</v>
      </c>
      <c r="Y23" s="296">
        <f t="shared" si="4"/>
        <v>10</v>
      </c>
      <c r="Z23" s="306">
        <v>4500</v>
      </c>
      <c r="AA23" s="306">
        <f t="shared" si="0"/>
        <v>45000</v>
      </c>
      <c r="AB23" s="306">
        <f t="shared" si="5"/>
        <v>67500</v>
      </c>
      <c r="AC23" s="294">
        <f t="shared" si="6"/>
        <v>0</v>
      </c>
      <c r="AD23" s="294">
        <f t="shared" si="7"/>
        <v>0</v>
      </c>
      <c r="AE23" s="294">
        <f t="shared" si="8"/>
        <v>0</v>
      </c>
      <c r="AF23" s="294">
        <f t="shared" si="9"/>
        <v>6750</v>
      </c>
      <c r="AG23" s="294">
        <f t="shared" si="10"/>
        <v>6750</v>
      </c>
      <c r="AH23" s="294">
        <f t="shared" si="11"/>
        <v>6750</v>
      </c>
      <c r="AI23" s="294">
        <f t="shared" si="12"/>
        <v>6750</v>
      </c>
      <c r="AJ23" s="294">
        <f t="shared" si="13"/>
        <v>6750</v>
      </c>
      <c r="AK23" s="294">
        <f t="shared" si="14"/>
        <v>6750</v>
      </c>
      <c r="AL23" s="294">
        <f t="shared" si="15"/>
        <v>6750</v>
      </c>
      <c r="AM23" s="294">
        <f t="shared" si="16"/>
        <v>6750</v>
      </c>
      <c r="AN23" s="294">
        <f t="shared" si="17"/>
        <v>6750</v>
      </c>
      <c r="AO23" s="294">
        <f t="shared" si="18"/>
        <v>6750</v>
      </c>
      <c r="AP23" s="294">
        <f t="shared" si="19"/>
        <v>0</v>
      </c>
      <c r="AQ23" s="294">
        <f t="shared" si="20"/>
        <v>0</v>
      </c>
      <c r="AR23" s="294">
        <f t="shared" si="21"/>
        <v>0</v>
      </c>
      <c r="AS23" s="294">
        <f t="shared" si="22"/>
        <v>0</v>
      </c>
    </row>
    <row r="24" spans="2:45" ht="15.95" customHeight="1">
      <c r="B24" s="530"/>
      <c r="C24" s="304" t="s">
        <v>4090</v>
      </c>
      <c r="D24" s="294" t="s">
        <v>3891</v>
      </c>
      <c r="E24" s="307"/>
      <c r="F24" s="307"/>
      <c r="G24" s="308"/>
      <c r="H24" s="307"/>
      <c r="I24" s="307"/>
      <c r="J24" s="307"/>
      <c r="K24" s="307"/>
      <c r="L24" s="307"/>
      <c r="M24" s="307"/>
      <c r="N24" s="307"/>
      <c r="O24" s="307"/>
      <c r="P24" s="307"/>
      <c r="Q24" s="296">
        <v>1</v>
      </c>
      <c r="R24" s="296">
        <v>1</v>
      </c>
      <c r="S24" s="296">
        <v>1</v>
      </c>
      <c r="T24" s="296">
        <v>1</v>
      </c>
      <c r="U24" s="296">
        <v>1</v>
      </c>
      <c r="X24" s="296">
        <f t="shared" si="3"/>
        <v>1</v>
      </c>
      <c r="Y24" s="296">
        <f>SUM(E24:W24)</f>
        <v>5</v>
      </c>
      <c r="Z24" s="306">
        <v>7000</v>
      </c>
      <c r="AA24" s="306">
        <f t="shared" si="0"/>
        <v>35000</v>
      </c>
      <c r="AB24" s="306">
        <f t="shared" si="5"/>
        <v>52500</v>
      </c>
      <c r="AC24" s="294">
        <f t="shared" si="6"/>
        <v>0</v>
      </c>
      <c r="AD24" s="294">
        <f t="shared" si="7"/>
        <v>0</v>
      </c>
      <c r="AE24" s="294">
        <f t="shared" si="8"/>
        <v>0</v>
      </c>
      <c r="AF24" s="294">
        <f t="shared" si="9"/>
        <v>0</v>
      </c>
      <c r="AG24" s="294">
        <f t="shared" si="10"/>
        <v>0</v>
      </c>
      <c r="AH24" s="294">
        <f t="shared" si="11"/>
        <v>0</v>
      </c>
      <c r="AI24" s="294">
        <f t="shared" si="12"/>
        <v>0</v>
      </c>
      <c r="AJ24" s="294">
        <f t="shared" si="13"/>
        <v>0</v>
      </c>
      <c r="AK24" s="294">
        <f t="shared" si="14"/>
        <v>0</v>
      </c>
      <c r="AL24" s="294">
        <f t="shared" si="15"/>
        <v>0</v>
      </c>
      <c r="AM24" s="294">
        <f t="shared" si="16"/>
        <v>0</v>
      </c>
      <c r="AN24" s="294">
        <f t="shared" si="17"/>
        <v>10500</v>
      </c>
      <c r="AO24" s="294">
        <f t="shared" si="18"/>
        <v>10500</v>
      </c>
      <c r="AP24" s="294">
        <f t="shared" si="19"/>
        <v>10500</v>
      </c>
      <c r="AQ24" s="294">
        <f t="shared" si="20"/>
        <v>10500</v>
      </c>
      <c r="AR24" s="294">
        <f t="shared" si="21"/>
        <v>10500</v>
      </c>
      <c r="AS24" s="294">
        <f t="shared" si="22"/>
        <v>0</v>
      </c>
    </row>
    <row r="25" spans="2:45" ht="15.95" customHeight="1">
      <c r="B25" s="530"/>
      <c r="C25" s="304" t="s">
        <v>4090</v>
      </c>
      <c r="D25" s="294" t="s">
        <v>3893</v>
      </c>
      <c r="E25" s="307"/>
      <c r="F25" s="307"/>
      <c r="G25" s="308"/>
      <c r="H25" s="307"/>
      <c r="I25" s="296">
        <v>1</v>
      </c>
      <c r="J25" s="296">
        <v>1</v>
      </c>
      <c r="K25" s="296">
        <v>1</v>
      </c>
      <c r="L25" s="296">
        <v>1</v>
      </c>
      <c r="M25" s="296">
        <v>1</v>
      </c>
      <c r="N25" s="296">
        <v>1</v>
      </c>
      <c r="O25" s="296">
        <v>1</v>
      </c>
      <c r="P25" s="296">
        <v>1</v>
      </c>
      <c r="Q25" s="296">
        <v>1</v>
      </c>
      <c r="R25" s="296">
        <v>1</v>
      </c>
      <c r="S25" s="296">
        <v>1</v>
      </c>
      <c r="T25" s="296">
        <v>1</v>
      </c>
      <c r="U25" s="307"/>
      <c r="X25" s="296">
        <f t="shared" si="3"/>
        <v>1</v>
      </c>
      <c r="Y25" s="296">
        <f t="shared" si="4"/>
        <v>12</v>
      </c>
      <c r="Z25" s="306">
        <v>4500</v>
      </c>
      <c r="AA25" s="306">
        <f t="shared" si="0"/>
        <v>54000</v>
      </c>
      <c r="AB25" s="306">
        <f t="shared" si="5"/>
        <v>81000</v>
      </c>
      <c r="AC25" s="294">
        <f t="shared" si="6"/>
        <v>0</v>
      </c>
      <c r="AD25" s="294">
        <f t="shared" si="7"/>
        <v>0</v>
      </c>
      <c r="AE25" s="294">
        <f t="shared" si="8"/>
        <v>0</v>
      </c>
      <c r="AF25" s="294">
        <f t="shared" si="9"/>
        <v>6750</v>
      </c>
      <c r="AG25" s="294">
        <f t="shared" si="10"/>
        <v>6750</v>
      </c>
      <c r="AH25" s="294">
        <f t="shared" si="11"/>
        <v>6750</v>
      </c>
      <c r="AI25" s="294">
        <f t="shared" si="12"/>
        <v>6750</v>
      </c>
      <c r="AJ25" s="294">
        <f t="shared" si="13"/>
        <v>6750</v>
      </c>
      <c r="AK25" s="294">
        <f t="shared" si="14"/>
        <v>6750</v>
      </c>
      <c r="AL25" s="294">
        <f t="shared" si="15"/>
        <v>6750</v>
      </c>
      <c r="AM25" s="294">
        <f t="shared" si="16"/>
        <v>6750</v>
      </c>
      <c r="AN25" s="294">
        <f t="shared" si="17"/>
        <v>6750</v>
      </c>
      <c r="AO25" s="294">
        <f t="shared" si="18"/>
        <v>6750</v>
      </c>
      <c r="AP25" s="294">
        <f t="shared" si="19"/>
        <v>6750</v>
      </c>
      <c r="AQ25" s="294">
        <f t="shared" si="20"/>
        <v>6750</v>
      </c>
      <c r="AR25" s="294">
        <f t="shared" si="21"/>
        <v>0</v>
      </c>
      <c r="AS25" s="294">
        <f t="shared" si="22"/>
        <v>0</v>
      </c>
    </row>
    <row r="26" spans="2:45" ht="15.95" customHeight="1">
      <c r="B26" s="530"/>
      <c r="C26" s="304" t="s">
        <v>4090</v>
      </c>
      <c r="D26" s="294" t="s">
        <v>3895</v>
      </c>
      <c r="E26" s="307"/>
      <c r="F26" s="307"/>
      <c r="G26" s="305">
        <v>1</v>
      </c>
      <c r="H26" s="296">
        <v>1</v>
      </c>
      <c r="I26" s="296">
        <v>1</v>
      </c>
      <c r="J26" s="296">
        <v>1</v>
      </c>
      <c r="K26" s="296">
        <v>1</v>
      </c>
      <c r="L26" s="296">
        <v>1</v>
      </c>
      <c r="M26" s="296">
        <v>1</v>
      </c>
      <c r="N26" s="296">
        <v>1</v>
      </c>
      <c r="O26" s="296">
        <v>1</v>
      </c>
      <c r="P26" s="296">
        <v>1</v>
      </c>
      <c r="Q26" s="296">
        <v>1</v>
      </c>
      <c r="R26" s="296">
        <v>1</v>
      </c>
      <c r="S26" s="296">
        <v>1</v>
      </c>
      <c r="T26" s="296">
        <v>1</v>
      </c>
      <c r="U26" s="296">
        <v>1</v>
      </c>
      <c r="X26" s="296">
        <f t="shared" si="3"/>
        <v>1</v>
      </c>
      <c r="Y26" s="296">
        <f t="shared" si="4"/>
        <v>15</v>
      </c>
      <c r="Z26" s="306">
        <v>6000</v>
      </c>
      <c r="AA26" s="306">
        <f t="shared" si="0"/>
        <v>90000</v>
      </c>
      <c r="AB26" s="306">
        <f t="shared" si="5"/>
        <v>135000</v>
      </c>
      <c r="AC26" s="294">
        <f t="shared" si="6"/>
        <v>0</v>
      </c>
      <c r="AD26" s="294">
        <f t="shared" si="7"/>
        <v>9000</v>
      </c>
      <c r="AE26" s="294">
        <f t="shared" si="8"/>
        <v>9000</v>
      </c>
      <c r="AF26" s="294">
        <f t="shared" si="9"/>
        <v>9000</v>
      </c>
      <c r="AG26" s="294">
        <f t="shared" si="10"/>
        <v>9000</v>
      </c>
      <c r="AH26" s="294">
        <f t="shared" si="11"/>
        <v>9000</v>
      </c>
      <c r="AI26" s="294">
        <f t="shared" si="12"/>
        <v>9000</v>
      </c>
      <c r="AJ26" s="294">
        <f t="shared" si="13"/>
        <v>9000</v>
      </c>
      <c r="AK26" s="294">
        <f t="shared" si="14"/>
        <v>9000</v>
      </c>
      <c r="AL26" s="294">
        <f t="shared" si="15"/>
        <v>9000</v>
      </c>
      <c r="AM26" s="294">
        <f t="shared" si="16"/>
        <v>9000</v>
      </c>
      <c r="AN26" s="294">
        <f t="shared" si="17"/>
        <v>9000</v>
      </c>
      <c r="AO26" s="294">
        <f t="shared" si="18"/>
        <v>9000</v>
      </c>
      <c r="AP26" s="294">
        <f t="shared" si="19"/>
        <v>9000</v>
      </c>
      <c r="AQ26" s="294">
        <f t="shared" si="20"/>
        <v>9000</v>
      </c>
      <c r="AR26" s="294">
        <f t="shared" si="21"/>
        <v>9000</v>
      </c>
      <c r="AS26" s="294">
        <f t="shared" si="22"/>
        <v>0</v>
      </c>
    </row>
    <row r="27" spans="2:45" ht="15.95" customHeight="1">
      <c r="B27" s="530"/>
      <c r="C27" s="304" t="s">
        <v>4090</v>
      </c>
      <c r="D27" s="294" t="s">
        <v>3898</v>
      </c>
      <c r="E27" s="307"/>
      <c r="F27" s="307"/>
      <c r="G27" s="308"/>
      <c r="H27" s="296">
        <v>1</v>
      </c>
      <c r="I27" s="296">
        <v>1</v>
      </c>
      <c r="J27" s="296">
        <v>1</v>
      </c>
      <c r="K27" s="296">
        <v>1</v>
      </c>
      <c r="L27" s="296">
        <v>1</v>
      </c>
      <c r="M27" s="296">
        <v>1</v>
      </c>
      <c r="N27" s="296">
        <v>1</v>
      </c>
      <c r="O27" s="296">
        <v>1</v>
      </c>
      <c r="P27" s="296">
        <v>1</v>
      </c>
      <c r="Q27" s="296">
        <v>1</v>
      </c>
      <c r="R27" s="296">
        <v>1</v>
      </c>
      <c r="S27" s="296">
        <v>1</v>
      </c>
      <c r="T27" s="296">
        <v>1</v>
      </c>
      <c r="U27" s="296">
        <v>1</v>
      </c>
      <c r="X27" s="296">
        <f t="shared" si="3"/>
        <v>1</v>
      </c>
      <c r="Y27" s="296">
        <f t="shared" si="4"/>
        <v>14</v>
      </c>
      <c r="Z27" s="306">
        <v>3500</v>
      </c>
      <c r="AA27" s="306">
        <f t="shared" si="0"/>
        <v>49000</v>
      </c>
      <c r="AB27" s="306">
        <f t="shared" si="5"/>
        <v>73500</v>
      </c>
      <c r="AC27" s="294">
        <f t="shared" si="6"/>
        <v>0</v>
      </c>
      <c r="AD27" s="294">
        <f t="shared" si="7"/>
        <v>0</v>
      </c>
      <c r="AE27" s="294">
        <f t="shared" si="8"/>
        <v>5250</v>
      </c>
      <c r="AF27" s="294">
        <f t="shared" si="9"/>
        <v>5250</v>
      </c>
      <c r="AG27" s="294">
        <f t="shared" si="10"/>
        <v>5250</v>
      </c>
      <c r="AH27" s="294">
        <f t="shared" si="11"/>
        <v>5250</v>
      </c>
      <c r="AI27" s="294">
        <f t="shared" si="12"/>
        <v>5250</v>
      </c>
      <c r="AJ27" s="294">
        <f t="shared" si="13"/>
        <v>5250</v>
      </c>
      <c r="AK27" s="294">
        <f t="shared" si="14"/>
        <v>5250</v>
      </c>
      <c r="AL27" s="294">
        <f t="shared" si="15"/>
        <v>5250</v>
      </c>
      <c r="AM27" s="294">
        <f t="shared" si="16"/>
        <v>5250</v>
      </c>
      <c r="AN27" s="294">
        <f t="shared" si="17"/>
        <v>5250</v>
      </c>
      <c r="AO27" s="294">
        <f t="shared" si="18"/>
        <v>5250</v>
      </c>
      <c r="AP27" s="294">
        <f t="shared" si="19"/>
        <v>5250</v>
      </c>
      <c r="AQ27" s="294">
        <f t="shared" si="20"/>
        <v>5250</v>
      </c>
      <c r="AR27" s="294">
        <f t="shared" si="21"/>
        <v>5250</v>
      </c>
      <c r="AS27" s="294">
        <f t="shared" si="22"/>
        <v>0</v>
      </c>
    </row>
    <row r="28" spans="2:45" ht="15.95" customHeight="1">
      <c r="B28" s="530"/>
      <c r="C28" s="304" t="s">
        <v>4092</v>
      </c>
      <c r="D28" s="294" t="s">
        <v>3900</v>
      </c>
      <c r="E28" s="307"/>
      <c r="F28" s="307"/>
      <c r="G28" s="308"/>
      <c r="H28" s="296">
        <v>2</v>
      </c>
      <c r="I28" s="296">
        <v>2</v>
      </c>
      <c r="J28" s="296">
        <v>3</v>
      </c>
      <c r="K28" s="296">
        <v>3</v>
      </c>
      <c r="L28" s="296">
        <v>3</v>
      </c>
      <c r="M28" s="296">
        <v>3</v>
      </c>
      <c r="N28" s="296">
        <v>3</v>
      </c>
      <c r="O28" s="296">
        <v>3</v>
      </c>
      <c r="P28" s="296">
        <v>3</v>
      </c>
      <c r="Q28" s="296">
        <v>2</v>
      </c>
      <c r="R28" s="296">
        <v>2</v>
      </c>
      <c r="S28" s="296">
        <v>2</v>
      </c>
      <c r="T28" s="296">
        <v>2</v>
      </c>
      <c r="U28" s="296">
        <v>1</v>
      </c>
      <c r="X28" s="296">
        <f t="shared" si="3"/>
        <v>3</v>
      </c>
      <c r="Y28" s="296">
        <f t="shared" si="4"/>
        <v>34</v>
      </c>
      <c r="Z28" s="306">
        <v>3500</v>
      </c>
      <c r="AA28" s="306">
        <f t="shared" si="0"/>
        <v>119000</v>
      </c>
      <c r="AB28" s="306">
        <f t="shared" si="5"/>
        <v>178500</v>
      </c>
      <c r="AC28" s="294">
        <f t="shared" si="6"/>
        <v>0</v>
      </c>
      <c r="AD28" s="294">
        <f t="shared" si="7"/>
        <v>0</v>
      </c>
      <c r="AE28" s="294">
        <f t="shared" si="8"/>
        <v>10500</v>
      </c>
      <c r="AF28" s="294">
        <f t="shared" si="9"/>
        <v>10500</v>
      </c>
      <c r="AG28" s="294">
        <f t="shared" si="10"/>
        <v>15750</v>
      </c>
      <c r="AH28" s="294">
        <f t="shared" si="11"/>
        <v>15750</v>
      </c>
      <c r="AI28" s="294">
        <f t="shared" si="12"/>
        <v>15750</v>
      </c>
      <c r="AJ28" s="294">
        <f t="shared" si="13"/>
        <v>15750</v>
      </c>
      <c r="AK28" s="294">
        <f t="shared" si="14"/>
        <v>15750</v>
      </c>
      <c r="AL28" s="294">
        <f t="shared" si="15"/>
        <v>15750</v>
      </c>
      <c r="AM28" s="294">
        <f t="shared" si="16"/>
        <v>15750</v>
      </c>
      <c r="AN28" s="294">
        <f t="shared" si="17"/>
        <v>10500</v>
      </c>
      <c r="AO28" s="294">
        <f t="shared" si="18"/>
        <v>10500</v>
      </c>
      <c r="AP28" s="294">
        <f t="shared" si="19"/>
        <v>10500</v>
      </c>
      <c r="AQ28" s="294">
        <f t="shared" si="20"/>
        <v>10500</v>
      </c>
      <c r="AR28" s="294">
        <f t="shared" si="21"/>
        <v>5250</v>
      </c>
      <c r="AS28" s="294">
        <f t="shared" si="22"/>
        <v>0</v>
      </c>
    </row>
    <row r="29" spans="2:45" ht="15.95" customHeight="1">
      <c r="B29" s="530"/>
      <c r="C29" s="304" t="s">
        <v>4092</v>
      </c>
      <c r="D29" s="294" t="s">
        <v>3904</v>
      </c>
      <c r="E29" s="307"/>
      <c r="F29" s="307"/>
      <c r="G29" s="308"/>
      <c r="H29" s="307"/>
      <c r="I29" s="296">
        <v>1</v>
      </c>
      <c r="J29" s="296">
        <v>1</v>
      </c>
      <c r="K29" s="296">
        <v>1</v>
      </c>
      <c r="L29" s="296">
        <v>1</v>
      </c>
      <c r="M29" s="296">
        <v>1</v>
      </c>
      <c r="N29" s="296">
        <v>1</v>
      </c>
      <c r="O29" s="296">
        <v>1</v>
      </c>
      <c r="P29" s="296">
        <v>1</v>
      </c>
      <c r="Q29" s="296">
        <v>1</v>
      </c>
      <c r="R29" s="296">
        <v>1</v>
      </c>
      <c r="S29" s="296">
        <v>1</v>
      </c>
      <c r="T29" s="296">
        <v>1</v>
      </c>
      <c r="U29" s="296">
        <v>1</v>
      </c>
      <c r="X29" s="296">
        <f t="shared" si="3"/>
        <v>1</v>
      </c>
      <c r="Y29" s="296">
        <f t="shared" si="4"/>
        <v>13</v>
      </c>
      <c r="Z29" s="306">
        <v>2100</v>
      </c>
      <c r="AA29" s="306">
        <f t="shared" si="0"/>
        <v>27300</v>
      </c>
      <c r="AB29" s="306">
        <f t="shared" si="5"/>
        <v>40950</v>
      </c>
      <c r="AC29" s="294">
        <f t="shared" si="6"/>
        <v>0</v>
      </c>
      <c r="AD29" s="294">
        <f t="shared" si="7"/>
        <v>0</v>
      </c>
      <c r="AE29" s="294">
        <f t="shared" si="8"/>
        <v>0</v>
      </c>
      <c r="AF29" s="294">
        <f t="shared" si="9"/>
        <v>3150</v>
      </c>
      <c r="AG29" s="294">
        <f>+J29*$Z29*1.5</f>
        <v>3150</v>
      </c>
      <c r="AH29" s="294">
        <f t="shared" si="11"/>
        <v>3150</v>
      </c>
      <c r="AI29" s="294">
        <f t="shared" si="12"/>
        <v>3150</v>
      </c>
      <c r="AJ29" s="294">
        <f t="shared" si="13"/>
        <v>3150</v>
      </c>
      <c r="AK29" s="294">
        <f t="shared" si="14"/>
        <v>3150</v>
      </c>
      <c r="AL29" s="294">
        <f t="shared" si="15"/>
        <v>3150</v>
      </c>
      <c r="AM29" s="294">
        <f t="shared" si="16"/>
        <v>3150</v>
      </c>
      <c r="AN29" s="294">
        <f t="shared" si="17"/>
        <v>3150</v>
      </c>
      <c r="AO29" s="294">
        <f t="shared" si="18"/>
        <v>3150</v>
      </c>
      <c r="AP29" s="294">
        <f t="shared" si="19"/>
        <v>3150</v>
      </c>
      <c r="AQ29" s="294">
        <f t="shared" si="20"/>
        <v>3150</v>
      </c>
      <c r="AR29" s="294">
        <f t="shared" si="21"/>
        <v>3150</v>
      </c>
      <c r="AS29" s="294">
        <f t="shared" si="22"/>
        <v>0</v>
      </c>
    </row>
    <row r="30" spans="2:45" ht="15.95" customHeight="1">
      <c r="B30" s="530"/>
      <c r="C30" s="304" t="s">
        <v>4092</v>
      </c>
      <c r="D30" s="294" t="s">
        <v>3907</v>
      </c>
      <c r="E30" s="307"/>
      <c r="F30" s="307"/>
      <c r="G30" s="308"/>
      <c r="H30" s="307"/>
      <c r="I30" s="296">
        <v>1</v>
      </c>
      <c r="J30" s="296">
        <v>1</v>
      </c>
      <c r="K30" s="296">
        <v>1</v>
      </c>
      <c r="L30" s="296">
        <v>1</v>
      </c>
      <c r="M30" s="296">
        <v>1</v>
      </c>
      <c r="N30" s="296">
        <v>1</v>
      </c>
      <c r="O30" s="296">
        <v>1</v>
      </c>
      <c r="P30" s="296">
        <v>1</v>
      </c>
      <c r="Q30" s="296">
        <v>1</v>
      </c>
      <c r="R30" s="296">
        <v>1</v>
      </c>
      <c r="S30" s="296">
        <v>1</v>
      </c>
      <c r="T30" s="296">
        <v>1</v>
      </c>
      <c r="U30" s="307"/>
      <c r="X30" s="296">
        <f t="shared" si="3"/>
        <v>1</v>
      </c>
      <c r="Y30" s="296">
        <f t="shared" si="4"/>
        <v>12</v>
      </c>
      <c r="Z30" s="306">
        <v>3000</v>
      </c>
      <c r="AA30" s="306">
        <f t="shared" si="0"/>
        <v>36000</v>
      </c>
      <c r="AB30" s="306">
        <f t="shared" si="5"/>
        <v>54000</v>
      </c>
      <c r="AC30" s="294">
        <f t="shared" si="6"/>
        <v>0</v>
      </c>
      <c r="AD30" s="294">
        <f t="shared" si="7"/>
        <v>0</v>
      </c>
      <c r="AE30" s="294">
        <f t="shared" si="8"/>
        <v>0</v>
      </c>
      <c r="AF30" s="294">
        <f t="shared" si="9"/>
        <v>4500</v>
      </c>
      <c r="AG30" s="294">
        <f t="shared" si="10"/>
        <v>4500</v>
      </c>
      <c r="AH30" s="294">
        <f t="shared" si="11"/>
        <v>4500</v>
      </c>
      <c r="AI30" s="294">
        <f t="shared" si="12"/>
        <v>4500</v>
      </c>
      <c r="AJ30" s="294">
        <f t="shared" si="13"/>
        <v>4500</v>
      </c>
      <c r="AK30" s="294">
        <f t="shared" si="14"/>
        <v>4500</v>
      </c>
      <c r="AL30" s="294">
        <f t="shared" si="15"/>
        <v>4500</v>
      </c>
      <c r="AM30" s="294">
        <f t="shared" si="16"/>
        <v>4500</v>
      </c>
      <c r="AN30" s="294">
        <f t="shared" si="17"/>
        <v>4500</v>
      </c>
      <c r="AO30" s="294">
        <f t="shared" si="18"/>
        <v>4500</v>
      </c>
      <c r="AP30" s="294">
        <f t="shared" si="19"/>
        <v>4500</v>
      </c>
      <c r="AQ30" s="294">
        <f t="shared" si="20"/>
        <v>4500</v>
      </c>
      <c r="AR30" s="294">
        <f t="shared" si="21"/>
        <v>0</v>
      </c>
      <c r="AS30" s="294">
        <f t="shared" si="22"/>
        <v>0</v>
      </c>
    </row>
    <row r="31" spans="2:45" ht="15.95" customHeight="1">
      <c r="B31" s="530"/>
      <c r="C31" s="304" t="s">
        <v>4092</v>
      </c>
      <c r="D31" s="294" t="s">
        <v>3909</v>
      </c>
      <c r="E31" s="307"/>
      <c r="F31" s="307"/>
      <c r="G31" s="308"/>
      <c r="H31" s="296">
        <v>1</v>
      </c>
      <c r="I31" s="296">
        <v>1</v>
      </c>
      <c r="J31" s="296">
        <v>2</v>
      </c>
      <c r="K31" s="296">
        <v>3</v>
      </c>
      <c r="L31" s="296">
        <v>3</v>
      </c>
      <c r="M31" s="296">
        <v>3</v>
      </c>
      <c r="N31" s="296">
        <v>3</v>
      </c>
      <c r="O31" s="296">
        <v>2</v>
      </c>
      <c r="P31" s="296">
        <v>2</v>
      </c>
      <c r="Q31" s="296">
        <v>2</v>
      </c>
      <c r="R31" s="296">
        <v>2</v>
      </c>
      <c r="S31" s="296">
        <v>1</v>
      </c>
      <c r="T31" s="296">
        <v>1</v>
      </c>
      <c r="U31" s="307"/>
      <c r="X31" s="296">
        <f t="shared" si="3"/>
        <v>3</v>
      </c>
      <c r="Y31" s="296">
        <f t="shared" si="4"/>
        <v>26</v>
      </c>
      <c r="Z31" s="306">
        <v>4500</v>
      </c>
      <c r="AA31" s="306">
        <f t="shared" si="0"/>
        <v>117000</v>
      </c>
      <c r="AB31" s="306">
        <f t="shared" si="5"/>
        <v>175500</v>
      </c>
      <c r="AC31" s="294">
        <f t="shared" si="6"/>
        <v>0</v>
      </c>
      <c r="AD31" s="294">
        <f t="shared" si="7"/>
        <v>0</v>
      </c>
      <c r="AE31" s="294">
        <f t="shared" si="8"/>
        <v>6750</v>
      </c>
      <c r="AF31" s="294">
        <f t="shared" si="9"/>
        <v>6750</v>
      </c>
      <c r="AG31" s="294">
        <f t="shared" si="10"/>
        <v>13500</v>
      </c>
      <c r="AH31" s="294">
        <f t="shared" si="11"/>
        <v>20250</v>
      </c>
      <c r="AI31" s="294">
        <f t="shared" si="12"/>
        <v>20250</v>
      </c>
      <c r="AJ31" s="294">
        <f t="shared" si="13"/>
        <v>20250</v>
      </c>
      <c r="AK31" s="294">
        <f t="shared" si="14"/>
        <v>20250</v>
      </c>
      <c r="AL31" s="294">
        <f t="shared" si="15"/>
        <v>13500</v>
      </c>
      <c r="AM31" s="294">
        <f t="shared" si="16"/>
        <v>13500</v>
      </c>
      <c r="AN31" s="294">
        <f t="shared" si="17"/>
        <v>13500</v>
      </c>
      <c r="AO31" s="294">
        <f t="shared" si="18"/>
        <v>13500</v>
      </c>
      <c r="AP31" s="294">
        <f t="shared" si="19"/>
        <v>6750</v>
      </c>
      <c r="AQ31" s="294">
        <f t="shared" si="20"/>
        <v>6750</v>
      </c>
      <c r="AR31" s="294">
        <f t="shared" si="21"/>
        <v>0</v>
      </c>
      <c r="AS31" s="294">
        <f t="shared" si="22"/>
        <v>0</v>
      </c>
    </row>
    <row r="32" spans="2:45" ht="15.95" customHeight="1">
      <c r="B32" s="530"/>
      <c r="C32" s="304" t="s">
        <v>4092</v>
      </c>
      <c r="D32" s="294" t="s">
        <v>4093</v>
      </c>
      <c r="E32" s="307"/>
      <c r="F32" s="307"/>
      <c r="G32" s="308"/>
      <c r="H32" s="307"/>
      <c r="I32" s="296">
        <v>1</v>
      </c>
      <c r="J32" s="296">
        <v>1</v>
      </c>
      <c r="K32" s="296">
        <v>1</v>
      </c>
      <c r="L32" s="296">
        <v>1</v>
      </c>
      <c r="M32" s="296">
        <v>1</v>
      </c>
      <c r="N32" s="296">
        <v>1</v>
      </c>
      <c r="O32" s="296">
        <v>1</v>
      </c>
      <c r="P32" s="296">
        <v>1</v>
      </c>
      <c r="Q32" s="296">
        <v>1</v>
      </c>
      <c r="R32" s="296">
        <v>1</v>
      </c>
      <c r="S32" s="296">
        <v>1</v>
      </c>
      <c r="T32" s="296">
        <v>1</v>
      </c>
      <c r="U32" s="307"/>
      <c r="X32" s="296">
        <f t="shared" si="3"/>
        <v>1</v>
      </c>
      <c r="Y32" s="296">
        <f t="shared" si="4"/>
        <v>12</v>
      </c>
      <c r="Z32" s="306">
        <v>5500</v>
      </c>
      <c r="AA32" s="306">
        <f t="shared" si="0"/>
        <v>66000</v>
      </c>
      <c r="AB32" s="306">
        <f t="shared" si="5"/>
        <v>99000</v>
      </c>
      <c r="AC32" s="294">
        <f t="shared" si="6"/>
        <v>0</v>
      </c>
      <c r="AD32" s="294">
        <f t="shared" si="7"/>
        <v>0</v>
      </c>
      <c r="AE32" s="294">
        <f t="shared" si="8"/>
        <v>0</v>
      </c>
      <c r="AF32" s="294">
        <f t="shared" si="9"/>
        <v>8250</v>
      </c>
      <c r="AG32" s="294">
        <f t="shared" si="10"/>
        <v>8250</v>
      </c>
      <c r="AH32" s="294">
        <f t="shared" si="11"/>
        <v>8250</v>
      </c>
      <c r="AI32" s="294">
        <f t="shared" si="12"/>
        <v>8250</v>
      </c>
      <c r="AJ32" s="294">
        <f t="shared" si="13"/>
        <v>8250</v>
      </c>
      <c r="AK32" s="294">
        <f t="shared" si="14"/>
        <v>8250</v>
      </c>
      <c r="AL32" s="294">
        <f t="shared" si="15"/>
        <v>8250</v>
      </c>
      <c r="AM32" s="294">
        <f t="shared" si="16"/>
        <v>8250</v>
      </c>
      <c r="AN32" s="294">
        <f t="shared" si="17"/>
        <v>8250</v>
      </c>
      <c r="AO32" s="294">
        <f t="shared" si="18"/>
        <v>8250</v>
      </c>
      <c r="AP32" s="294">
        <f t="shared" si="19"/>
        <v>8250</v>
      </c>
      <c r="AQ32" s="294">
        <f t="shared" si="20"/>
        <v>8250</v>
      </c>
      <c r="AR32" s="294">
        <f t="shared" si="21"/>
        <v>0</v>
      </c>
      <c r="AS32" s="294">
        <f t="shared" si="22"/>
        <v>0</v>
      </c>
    </row>
    <row r="33" spans="2:45" ht="15.95" customHeight="1">
      <c r="B33" s="530"/>
      <c r="C33" s="304" t="s">
        <v>4092</v>
      </c>
      <c r="D33" s="294" t="s">
        <v>4094</v>
      </c>
      <c r="E33" s="307"/>
      <c r="F33" s="307"/>
      <c r="G33" s="308"/>
      <c r="H33" s="296">
        <v>1</v>
      </c>
      <c r="I33" s="296">
        <v>1</v>
      </c>
      <c r="J33" s="296">
        <v>1</v>
      </c>
      <c r="K33" s="296">
        <v>1</v>
      </c>
      <c r="L33" s="296">
        <v>1</v>
      </c>
      <c r="M33" s="296">
        <v>1</v>
      </c>
      <c r="N33" s="296">
        <v>1</v>
      </c>
      <c r="O33" s="307"/>
      <c r="P33" s="307"/>
      <c r="Q33" s="307"/>
      <c r="R33" s="307"/>
      <c r="S33" s="307"/>
      <c r="T33" s="307"/>
      <c r="U33" s="307"/>
      <c r="X33" s="296">
        <f t="shared" si="3"/>
        <v>1</v>
      </c>
      <c r="Y33" s="296">
        <f t="shared" si="4"/>
        <v>7</v>
      </c>
      <c r="Z33" s="306">
        <v>5500</v>
      </c>
      <c r="AA33" s="306">
        <f t="shared" si="0"/>
        <v>38500</v>
      </c>
      <c r="AB33" s="306">
        <f t="shared" si="5"/>
        <v>57750</v>
      </c>
      <c r="AC33" s="294">
        <f t="shared" si="6"/>
        <v>0</v>
      </c>
      <c r="AD33" s="294">
        <f t="shared" si="7"/>
        <v>0</v>
      </c>
      <c r="AE33" s="294">
        <f t="shared" si="8"/>
        <v>8250</v>
      </c>
      <c r="AF33" s="294">
        <f t="shared" si="9"/>
        <v>8250</v>
      </c>
      <c r="AG33" s="294">
        <f t="shared" si="10"/>
        <v>8250</v>
      </c>
      <c r="AH33" s="294">
        <f t="shared" si="11"/>
        <v>8250</v>
      </c>
      <c r="AI33" s="294">
        <f t="shared" si="12"/>
        <v>8250</v>
      </c>
      <c r="AJ33" s="294">
        <f t="shared" si="13"/>
        <v>8250</v>
      </c>
      <c r="AK33" s="294">
        <f t="shared" si="14"/>
        <v>8250</v>
      </c>
      <c r="AL33" s="294">
        <f t="shared" si="15"/>
        <v>0</v>
      </c>
      <c r="AM33" s="294">
        <f t="shared" si="16"/>
        <v>0</v>
      </c>
      <c r="AN33" s="294">
        <f t="shared" si="17"/>
        <v>0</v>
      </c>
      <c r="AO33" s="294">
        <f t="shared" si="18"/>
        <v>0</v>
      </c>
      <c r="AP33" s="294">
        <f t="shared" si="19"/>
        <v>0</v>
      </c>
      <c r="AQ33" s="294">
        <f t="shared" si="20"/>
        <v>0</v>
      </c>
      <c r="AR33" s="294">
        <f t="shared" si="21"/>
        <v>0</v>
      </c>
      <c r="AS33" s="294">
        <f t="shared" si="22"/>
        <v>0</v>
      </c>
    </row>
    <row r="34" spans="2:45" ht="15.95" customHeight="1">
      <c r="B34" s="530"/>
      <c r="C34" s="304" t="s">
        <v>4092</v>
      </c>
      <c r="D34" s="294" t="s">
        <v>3916</v>
      </c>
      <c r="E34" s="307"/>
      <c r="F34" s="296">
        <v>1</v>
      </c>
      <c r="G34" s="305">
        <v>1</v>
      </c>
      <c r="H34" s="296">
        <v>1</v>
      </c>
      <c r="I34" s="296">
        <v>1</v>
      </c>
      <c r="J34" s="296">
        <v>1</v>
      </c>
      <c r="K34" s="296">
        <v>1</v>
      </c>
      <c r="L34" s="296">
        <v>1</v>
      </c>
      <c r="M34" s="296">
        <v>1</v>
      </c>
      <c r="N34" s="296">
        <v>1</v>
      </c>
      <c r="O34" s="296">
        <v>1</v>
      </c>
      <c r="P34" s="296">
        <v>1</v>
      </c>
      <c r="Q34" s="296">
        <v>1</v>
      </c>
      <c r="R34" s="296">
        <v>1</v>
      </c>
      <c r="S34" s="296">
        <v>1</v>
      </c>
      <c r="T34" s="296">
        <v>1</v>
      </c>
      <c r="U34" s="307"/>
      <c r="X34" s="296">
        <f t="shared" si="3"/>
        <v>1</v>
      </c>
      <c r="Y34" s="296">
        <f t="shared" si="4"/>
        <v>15</v>
      </c>
      <c r="Z34" s="306">
        <v>4500</v>
      </c>
      <c r="AA34" s="306">
        <f t="shared" si="0"/>
        <v>67500</v>
      </c>
      <c r="AB34" s="306">
        <f t="shared" si="5"/>
        <v>101250</v>
      </c>
      <c r="AC34" s="294">
        <f t="shared" si="6"/>
        <v>6750</v>
      </c>
      <c r="AD34" s="294">
        <f t="shared" si="7"/>
        <v>6750</v>
      </c>
      <c r="AE34" s="294">
        <f t="shared" si="8"/>
        <v>6750</v>
      </c>
      <c r="AF34" s="294">
        <f t="shared" si="9"/>
        <v>6750</v>
      </c>
      <c r="AG34" s="294">
        <f t="shared" si="10"/>
        <v>6750</v>
      </c>
      <c r="AH34" s="294">
        <f t="shared" si="11"/>
        <v>6750</v>
      </c>
      <c r="AI34" s="294">
        <f t="shared" si="12"/>
        <v>6750</v>
      </c>
      <c r="AJ34" s="294">
        <f t="shared" si="13"/>
        <v>6750</v>
      </c>
      <c r="AK34" s="294">
        <f t="shared" si="14"/>
        <v>6750</v>
      </c>
      <c r="AL34" s="294">
        <f t="shared" si="15"/>
        <v>6750</v>
      </c>
      <c r="AM34" s="294">
        <f t="shared" si="16"/>
        <v>6750</v>
      </c>
      <c r="AN34" s="294">
        <f t="shared" si="17"/>
        <v>6750</v>
      </c>
      <c r="AO34" s="294">
        <f t="shared" si="18"/>
        <v>6750</v>
      </c>
      <c r="AP34" s="294">
        <f t="shared" si="19"/>
        <v>6750</v>
      </c>
      <c r="AQ34" s="294">
        <f t="shared" si="20"/>
        <v>6750</v>
      </c>
      <c r="AR34" s="294">
        <f t="shared" si="21"/>
        <v>0</v>
      </c>
      <c r="AS34" s="294">
        <f t="shared" si="22"/>
        <v>0</v>
      </c>
    </row>
    <row r="35" spans="2:45" ht="15.95" customHeight="1">
      <c r="B35" s="530"/>
      <c r="C35" s="304" t="s">
        <v>4092</v>
      </c>
      <c r="D35" s="294" t="s">
        <v>3919</v>
      </c>
      <c r="E35" s="307"/>
      <c r="F35" s="307"/>
      <c r="G35" s="305">
        <v>1</v>
      </c>
      <c r="H35" s="296">
        <v>1</v>
      </c>
      <c r="I35" s="296">
        <v>1</v>
      </c>
      <c r="J35" s="296">
        <v>1</v>
      </c>
      <c r="K35" s="296">
        <v>1</v>
      </c>
      <c r="L35" s="296">
        <v>1</v>
      </c>
      <c r="M35" s="296">
        <v>1</v>
      </c>
      <c r="N35" s="296">
        <v>1</v>
      </c>
      <c r="O35" s="296">
        <v>1</v>
      </c>
      <c r="P35" s="296">
        <v>1</v>
      </c>
      <c r="Q35" s="296">
        <v>1</v>
      </c>
      <c r="R35" s="296">
        <v>1</v>
      </c>
      <c r="S35" s="296">
        <v>1</v>
      </c>
      <c r="T35" s="296">
        <v>1</v>
      </c>
      <c r="U35" s="296">
        <v>1</v>
      </c>
      <c r="X35" s="296">
        <f t="shared" si="3"/>
        <v>1</v>
      </c>
      <c r="Y35" s="296">
        <f t="shared" si="4"/>
        <v>15</v>
      </c>
      <c r="Z35" s="306">
        <v>4200</v>
      </c>
      <c r="AA35" s="306">
        <f t="shared" si="0"/>
        <v>63000</v>
      </c>
      <c r="AB35" s="306">
        <f t="shared" si="5"/>
        <v>94500</v>
      </c>
      <c r="AC35" s="294">
        <f t="shared" si="6"/>
        <v>0</v>
      </c>
      <c r="AD35" s="294">
        <f t="shared" si="7"/>
        <v>6300</v>
      </c>
      <c r="AE35" s="294">
        <f t="shared" si="8"/>
        <v>6300</v>
      </c>
      <c r="AF35" s="294">
        <f t="shared" si="9"/>
        <v>6300</v>
      </c>
      <c r="AG35" s="294">
        <f t="shared" si="10"/>
        <v>6300</v>
      </c>
      <c r="AH35" s="294">
        <f t="shared" si="11"/>
        <v>6300</v>
      </c>
      <c r="AI35" s="294">
        <f t="shared" si="12"/>
        <v>6300</v>
      </c>
      <c r="AJ35" s="294">
        <f t="shared" si="13"/>
        <v>6300</v>
      </c>
      <c r="AK35" s="294">
        <f t="shared" si="14"/>
        <v>6300</v>
      </c>
      <c r="AL35" s="294">
        <f t="shared" si="15"/>
        <v>6300</v>
      </c>
      <c r="AM35" s="294">
        <f t="shared" si="16"/>
        <v>6300</v>
      </c>
      <c r="AN35" s="294">
        <f t="shared" si="17"/>
        <v>6300</v>
      </c>
      <c r="AO35" s="294">
        <f t="shared" si="18"/>
        <v>6300</v>
      </c>
      <c r="AP35" s="294">
        <f t="shared" si="19"/>
        <v>6300</v>
      </c>
      <c r="AQ35" s="294">
        <f t="shared" si="20"/>
        <v>6300</v>
      </c>
      <c r="AR35" s="294">
        <f t="shared" si="21"/>
        <v>6300</v>
      </c>
      <c r="AS35" s="294">
        <f t="shared" si="22"/>
        <v>0</v>
      </c>
    </row>
    <row r="36" spans="2:45" ht="15.95" customHeight="1">
      <c r="B36" s="530"/>
      <c r="C36" s="304" t="s">
        <v>4092</v>
      </c>
      <c r="D36" s="294" t="s">
        <v>3922</v>
      </c>
      <c r="E36" s="307"/>
      <c r="F36" s="307"/>
      <c r="G36" s="308"/>
      <c r="H36" s="307"/>
      <c r="I36" s="307"/>
      <c r="J36" s="296">
        <v>1</v>
      </c>
      <c r="K36" s="296">
        <v>1</v>
      </c>
      <c r="L36" s="296">
        <v>1</v>
      </c>
      <c r="M36" s="296">
        <v>1</v>
      </c>
      <c r="N36" s="296">
        <v>1</v>
      </c>
      <c r="O36" s="296">
        <v>1</v>
      </c>
      <c r="P36" s="296">
        <v>1</v>
      </c>
      <c r="Q36" s="296">
        <v>1</v>
      </c>
      <c r="R36" s="296">
        <v>1</v>
      </c>
      <c r="S36" s="296">
        <v>1</v>
      </c>
      <c r="T36" s="307"/>
      <c r="U36" s="307"/>
      <c r="X36" s="296">
        <f t="shared" si="3"/>
        <v>1</v>
      </c>
      <c r="Y36" s="296">
        <f t="shared" si="4"/>
        <v>10</v>
      </c>
      <c r="Z36" s="306">
        <v>5000</v>
      </c>
      <c r="AA36" s="306">
        <f t="shared" si="0"/>
        <v>50000</v>
      </c>
      <c r="AB36" s="306">
        <f t="shared" si="5"/>
        <v>75000</v>
      </c>
      <c r="AC36" s="294">
        <f t="shared" si="6"/>
        <v>0</v>
      </c>
      <c r="AD36" s="294">
        <f t="shared" si="7"/>
        <v>0</v>
      </c>
      <c r="AE36" s="294">
        <f t="shared" si="8"/>
        <v>0</v>
      </c>
      <c r="AF36" s="294">
        <f t="shared" si="9"/>
        <v>0</v>
      </c>
      <c r="AG36" s="294">
        <f t="shared" si="10"/>
        <v>7500</v>
      </c>
      <c r="AH36" s="294">
        <f t="shared" si="11"/>
        <v>7500</v>
      </c>
      <c r="AI36" s="294">
        <f t="shared" si="12"/>
        <v>7500</v>
      </c>
      <c r="AJ36" s="294">
        <f t="shared" si="13"/>
        <v>7500</v>
      </c>
      <c r="AK36" s="294">
        <f t="shared" si="14"/>
        <v>7500</v>
      </c>
      <c r="AL36" s="294">
        <f t="shared" si="15"/>
        <v>7500</v>
      </c>
      <c r="AM36" s="294">
        <f t="shared" si="16"/>
        <v>7500</v>
      </c>
      <c r="AN36" s="294">
        <f t="shared" si="17"/>
        <v>7500</v>
      </c>
      <c r="AO36" s="294">
        <f t="shared" si="18"/>
        <v>7500</v>
      </c>
      <c r="AP36" s="294">
        <f t="shared" si="19"/>
        <v>7500</v>
      </c>
      <c r="AQ36" s="294">
        <f t="shared" si="20"/>
        <v>0</v>
      </c>
      <c r="AR36" s="294">
        <f t="shared" si="21"/>
        <v>0</v>
      </c>
      <c r="AS36" s="294">
        <f t="shared" si="22"/>
        <v>0</v>
      </c>
    </row>
    <row r="37" spans="2:45" ht="15.95" customHeight="1">
      <c r="B37" s="530"/>
      <c r="C37" s="304" t="s">
        <v>4092</v>
      </c>
      <c r="D37" s="294" t="s">
        <v>3926</v>
      </c>
      <c r="E37" s="307"/>
      <c r="F37" s="296">
        <v>1</v>
      </c>
      <c r="G37" s="305">
        <v>1</v>
      </c>
      <c r="H37" s="296">
        <v>1</v>
      </c>
      <c r="I37" s="296">
        <v>1</v>
      </c>
      <c r="J37" s="296">
        <v>2</v>
      </c>
      <c r="K37" s="296">
        <v>2</v>
      </c>
      <c r="L37" s="296">
        <v>2</v>
      </c>
      <c r="M37" s="296">
        <v>2</v>
      </c>
      <c r="N37" s="296">
        <v>2</v>
      </c>
      <c r="O37" s="296">
        <v>2</v>
      </c>
      <c r="P37" s="296">
        <v>1</v>
      </c>
      <c r="Q37" s="296">
        <v>1</v>
      </c>
      <c r="R37" s="296">
        <v>1</v>
      </c>
      <c r="S37" s="296">
        <v>1</v>
      </c>
      <c r="T37" s="296">
        <v>1</v>
      </c>
      <c r="U37" s="296">
        <v>1</v>
      </c>
      <c r="X37" s="296">
        <f t="shared" si="3"/>
        <v>2</v>
      </c>
      <c r="Y37" s="296">
        <f t="shared" si="4"/>
        <v>22</v>
      </c>
      <c r="Z37" s="306">
        <v>4500</v>
      </c>
      <c r="AA37" s="306">
        <f t="shared" si="0"/>
        <v>99000</v>
      </c>
      <c r="AB37" s="306">
        <f t="shared" si="5"/>
        <v>148500</v>
      </c>
      <c r="AC37" s="294">
        <f t="shared" si="6"/>
        <v>6750</v>
      </c>
      <c r="AD37" s="294">
        <f t="shared" si="7"/>
        <v>6750</v>
      </c>
      <c r="AE37" s="294">
        <f t="shared" si="8"/>
        <v>6750</v>
      </c>
      <c r="AF37" s="294">
        <f t="shared" si="9"/>
        <v>6750</v>
      </c>
      <c r="AG37" s="294">
        <f t="shared" si="10"/>
        <v>13500</v>
      </c>
      <c r="AH37" s="294">
        <f t="shared" si="11"/>
        <v>13500</v>
      </c>
      <c r="AI37" s="294">
        <f t="shared" si="12"/>
        <v>13500</v>
      </c>
      <c r="AJ37" s="294">
        <f t="shared" si="13"/>
        <v>13500</v>
      </c>
      <c r="AK37" s="294">
        <f t="shared" si="14"/>
        <v>13500</v>
      </c>
      <c r="AL37" s="294">
        <f t="shared" si="15"/>
        <v>13500</v>
      </c>
      <c r="AM37" s="294">
        <f t="shared" si="16"/>
        <v>6750</v>
      </c>
      <c r="AN37" s="294">
        <f t="shared" si="17"/>
        <v>6750</v>
      </c>
      <c r="AO37" s="294">
        <f t="shared" si="18"/>
        <v>6750</v>
      </c>
      <c r="AP37" s="294">
        <f t="shared" si="19"/>
        <v>6750</v>
      </c>
      <c r="AQ37" s="294">
        <f t="shared" si="20"/>
        <v>6750</v>
      </c>
      <c r="AR37" s="294">
        <f t="shared" si="21"/>
        <v>6750</v>
      </c>
      <c r="AS37" s="294">
        <f t="shared" si="22"/>
        <v>0</v>
      </c>
    </row>
    <row r="38" spans="2:45" ht="15.95" customHeight="1" thickBot="1">
      <c r="B38" s="531"/>
      <c r="C38" s="309" t="s">
        <v>4092</v>
      </c>
      <c r="D38" s="310" t="s">
        <v>3929</v>
      </c>
      <c r="E38" s="311"/>
      <c r="F38" s="311"/>
      <c r="G38" s="319"/>
      <c r="H38" s="313">
        <v>1</v>
      </c>
      <c r="I38" s="313">
        <v>1</v>
      </c>
      <c r="J38" s="313">
        <v>1</v>
      </c>
      <c r="K38" s="313">
        <v>1</v>
      </c>
      <c r="L38" s="313">
        <v>1</v>
      </c>
      <c r="M38" s="313">
        <v>1</v>
      </c>
      <c r="N38" s="313">
        <v>1</v>
      </c>
      <c r="O38" s="313">
        <v>1</v>
      </c>
      <c r="P38" s="313">
        <v>1</v>
      </c>
      <c r="Q38" s="313">
        <v>1</v>
      </c>
      <c r="R38" s="313">
        <v>1</v>
      </c>
      <c r="S38" s="313">
        <v>1</v>
      </c>
      <c r="T38" s="313">
        <v>1</v>
      </c>
      <c r="U38" s="313">
        <v>1</v>
      </c>
      <c r="V38" s="313"/>
      <c r="W38" s="310"/>
      <c r="X38" s="296">
        <f t="shared" si="3"/>
        <v>1</v>
      </c>
      <c r="Y38" s="296">
        <f t="shared" si="4"/>
        <v>14</v>
      </c>
      <c r="Z38" s="306">
        <v>3500</v>
      </c>
      <c r="AA38" s="306">
        <f t="shared" si="0"/>
        <v>49000</v>
      </c>
      <c r="AB38" s="306">
        <f t="shared" si="5"/>
        <v>73500</v>
      </c>
      <c r="AC38" s="294">
        <f t="shared" si="6"/>
        <v>0</v>
      </c>
      <c r="AD38" s="294">
        <f t="shared" si="7"/>
        <v>0</v>
      </c>
      <c r="AE38" s="294">
        <f t="shared" si="8"/>
        <v>5250</v>
      </c>
      <c r="AF38" s="294">
        <f t="shared" si="9"/>
        <v>5250</v>
      </c>
      <c r="AG38" s="294">
        <f t="shared" si="10"/>
        <v>5250</v>
      </c>
      <c r="AH38" s="294">
        <f t="shared" si="11"/>
        <v>5250</v>
      </c>
      <c r="AI38" s="294">
        <f t="shared" si="12"/>
        <v>5250</v>
      </c>
      <c r="AJ38" s="294">
        <f t="shared" si="13"/>
        <v>5250</v>
      </c>
      <c r="AK38" s="294">
        <f t="shared" si="14"/>
        <v>5250</v>
      </c>
      <c r="AL38" s="294">
        <f t="shared" si="15"/>
        <v>5250</v>
      </c>
      <c r="AM38" s="294">
        <f t="shared" si="16"/>
        <v>5250</v>
      </c>
      <c r="AN38" s="294">
        <f t="shared" si="17"/>
        <v>5250</v>
      </c>
      <c r="AO38" s="294">
        <f t="shared" si="18"/>
        <v>5250</v>
      </c>
      <c r="AP38" s="294">
        <f t="shared" si="19"/>
        <v>5250</v>
      </c>
      <c r="AQ38" s="294">
        <f t="shared" si="20"/>
        <v>5250</v>
      </c>
      <c r="AR38" s="294">
        <f t="shared" si="21"/>
        <v>5250</v>
      </c>
      <c r="AS38" s="294">
        <f t="shared" si="22"/>
        <v>0</v>
      </c>
    </row>
    <row r="39" spans="2:45" ht="15.95" customHeight="1">
      <c r="B39" s="532" t="s">
        <v>4095</v>
      </c>
      <c r="C39" s="314" t="s">
        <v>4085</v>
      </c>
      <c r="D39" s="315" t="s">
        <v>4096</v>
      </c>
      <c r="E39" s="320"/>
      <c r="F39" s="316">
        <v>1</v>
      </c>
      <c r="G39" s="317">
        <v>1</v>
      </c>
      <c r="H39" s="316">
        <v>1</v>
      </c>
      <c r="I39" s="316">
        <v>1</v>
      </c>
      <c r="J39" s="316">
        <v>1</v>
      </c>
      <c r="K39" s="316">
        <v>1</v>
      </c>
      <c r="L39" s="316">
        <v>1</v>
      </c>
      <c r="M39" s="316">
        <v>1</v>
      </c>
      <c r="N39" s="316">
        <v>1</v>
      </c>
      <c r="O39" s="316">
        <v>1</v>
      </c>
      <c r="P39" s="316">
        <v>1</v>
      </c>
      <c r="Q39" s="316">
        <v>1</v>
      </c>
      <c r="R39" s="316">
        <v>1</v>
      </c>
      <c r="S39" s="316">
        <v>1</v>
      </c>
      <c r="T39" s="316">
        <v>1</v>
      </c>
      <c r="U39" s="316">
        <v>1</v>
      </c>
      <c r="V39" s="316"/>
      <c r="W39" s="315"/>
      <c r="X39" s="296">
        <f t="shared" si="3"/>
        <v>1</v>
      </c>
      <c r="Y39" s="296">
        <f t="shared" si="4"/>
        <v>16</v>
      </c>
      <c r="Z39" s="306">
        <v>4500</v>
      </c>
      <c r="AA39" s="306">
        <f t="shared" si="0"/>
        <v>72000</v>
      </c>
      <c r="AB39" s="306">
        <f t="shared" si="5"/>
        <v>108000</v>
      </c>
      <c r="AC39" s="294">
        <f t="shared" si="6"/>
        <v>6750</v>
      </c>
      <c r="AD39" s="294">
        <f t="shared" si="7"/>
        <v>6750</v>
      </c>
      <c r="AE39" s="294">
        <f t="shared" si="8"/>
        <v>6750</v>
      </c>
      <c r="AF39" s="294">
        <f t="shared" si="9"/>
        <v>6750</v>
      </c>
      <c r="AG39" s="294">
        <f t="shared" si="10"/>
        <v>6750</v>
      </c>
      <c r="AH39" s="294">
        <f t="shared" si="11"/>
        <v>6750</v>
      </c>
      <c r="AI39" s="294">
        <f t="shared" si="12"/>
        <v>6750</v>
      </c>
      <c r="AJ39" s="294">
        <f t="shared" si="13"/>
        <v>6750</v>
      </c>
      <c r="AK39" s="294">
        <f t="shared" si="14"/>
        <v>6750</v>
      </c>
      <c r="AL39" s="294">
        <f t="shared" si="15"/>
        <v>6750</v>
      </c>
      <c r="AM39" s="294">
        <f t="shared" si="16"/>
        <v>6750</v>
      </c>
      <c r="AN39" s="294">
        <f t="shared" si="17"/>
        <v>6750</v>
      </c>
      <c r="AO39" s="294">
        <f t="shared" si="18"/>
        <v>6750</v>
      </c>
      <c r="AP39" s="294">
        <f t="shared" si="19"/>
        <v>6750</v>
      </c>
      <c r="AQ39" s="294">
        <f t="shared" si="20"/>
        <v>6750</v>
      </c>
      <c r="AR39" s="294">
        <f t="shared" si="21"/>
        <v>6750</v>
      </c>
      <c r="AS39" s="294">
        <f t="shared" si="22"/>
        <v>0</v>
      </c>
    </row>
    <row r="40" spans="2:45" ht="15.95" customHeight="1">
      <c r="B40" s="530"/>
      <c r="C40" s="304" t="s">
        <v>4085</v>
      </c>
      <c r="D40" s="294" t="s">
        <v>4097</v>
      </c>
      <c r="E40" s="307"/>
      <c r="F40" s="307"/>
      <c r="G40" s="308"/>
      <c r="H40" s="318"/>
      <c r="I40" s="296">
        <v>1</v>
      </c>
      <c r="J40" s="296">
        <v>1</v>
      </c>
      <c r="K40" s="296">
        <v>1</v>
      </c>
      <c r="L40" s="296">
        <v>1</v>
      </c>
      <c r="M40" s="296">
        <v>1</v>
      </c>
      <c r="N40" s="296">
        <v>1</v>
      </c>
      <c r="O40" s="296">
        <v>1</v>
      </c>
      <c r="P40" s="296">
        <v>1</v>
      </c>
      <c r="Q40" s="296">
        <v>1</v>
      </c>
      <c r="R40" s="296">
        <v>1</v>
      </c>
      <c r="S40" s="296">
        <v>1</v>
      </c>
      <c r="T40" s="296">
        <v>1</v>
      </c>
      <c r="U40" s="296">
        <v>1</v>
      </c>
      <c r="X40" s="296">
        <f t="shared" si="3"/>
        <v>1</v>
      </c>
      <c r="Y40" s="296">
        <f t="shared" si="4"/>
        <v>13</v>
      </c>
      <c r="Z40" s="306">
        <v>2500</v>
      </c>
      <c r="AA40" s="306">
        <f t="shared" si="0"/>
        <v>32500</v>
      </c>
      <c r="AB40" s="306">
        <f t="shared" si="5"/>
        <v>48750</v>
      </c>
      <c r="AC40" s="294">
        <f t="shared" si="6"/>
        <v>0</v>
      </c>
      <c r="AD40" s="294">
        <f t="shared" si="7"/>
        <v>0</v>
      </c>
      <c r="AE40" s="294">
        <f t="shared" si="8"/>
        <v>0</v>
      </c>
      <c r="AF40" s="294">
        <f t="shared" si="9"/>
        <v>3750</v>
      </c>
      <c r="AG40" s="294">
        <f t="shared" si="10"/>
        <v>3750</v>
      </c>
      <c r="AH40" s="294">
        <f t="shared" si="11"/>
        <v>3750</v>
      </c>
      <c r="AI40" s="294">
        <f t="shared" si="12"/>
        <v>3750</v>
      </c>
      <c r="AJ40" s="294">
        <f t="shared" si="13"/>
        <v>3750</v>
      </c>
      <c r="AK40" s="294">
        <f t="shared" si="14"/>
        <v>3750</v>
      </c>
      <c r="AL40" s="294">
        <f t="shared" si="15"/>
        <v>3750</v>
      </c>
      <c r="AM40" s="294">
        <f t="shared" si="16"/>
        <v>3750</v>
      </c>
      <c r="AN40" s="294">
        <f t="shared" si="17"/>
        <v>3750</v>
      </c>
      <c r="AO40" s="294">
        <f t="shared" si="18"/>
        <v>3750</v>
      </c>
      <c r="AP40" s="294">
        <f t="shared" si="19"/>
        <v>3750</v>
      </c>
      <c r="AQ40" s="294">
        <f t="shared" si="20"/>
        <v>3750</v>
      </c>
      <c r="AR40" s="294">
        <f t="shared" si="21"/>
        <v>3750</v>
      </c>
      <c r="AS40" s="294">
        <f t="shared" si="22"/>
        <v>0</v>
      </c>
    </row>
    <row r="41" spans="2:45" ht="15.95" customHeight="1">
      <c r="B41" s="530"/>
      <c r="C41" s="304" t="s">
        <v>4085</v>
      </c>
      <c r="D41" s="294" t="s">
        <v>4098</v>
      </c>
      <c r="E41" s="307"/>
      <c r="F41" s="307"/>
      <c r="G41" s="308"/>
      <c r="H41" s="307"/>
      <c r="I41" s="296">
        <v>1</v>
      </c>
      <c r="J41" s="296">
        <v>1</v>
      </c>
      <c r="K41" s="296">
        <v>1</v>
      </c>
      <c r="L41" s="296">
        <v>1</v>
      </c>
      <c r="M41" s="296">
        <v>1</v>
      </c>
      <c r="N41" s="296">
        <v>1</v>
      </c>
      <c r="O41" s="296">
        <v>1</v>
      </c>
      <c r="P41" s="296">
        <v>1</v>
      </c>
      <c r="Q41" s="296">
        <v>1</v>
      </c>
      <c r="R41" s="296">
        <v>1</v>
      </c>
      <c r="S41" s="296">
        <v>1</v>
      </c>
      <c r="T41" s="296">
        <v>1</v>
      </c>
      <c r="U41" s="296">
        <v>1</v>
      </c>
      <c r="X41" s="296">
        <f t="shared" ref="X41" si="23">MAX(E41:W41)</f>
        <v>1</v>
      </c>
      <c r="Y41" s="296">
        <f t="shared" ref="Y41" si="24">SUM(E41:W41)</f>
        <v>13</v>
      </c>
      <c r="Z41" s="306">
        <v>2500</v>
      </c>
      <c r="AA41" s="306">
        <f t="shared" ref="AA41" si="25">PRODUCT(Y41:Z41)</f>
        <v>32500</v>
      </c>
      <c r="AB41" s="306">
        <f t="shared" si="5"/>
        <v>48750</v>
      </c>
      <c r="AC41" s="294">
        <f t="shared" si="6"/>
        <v>0</v>
      </c>
      <c r="AD41" s="294">
        <f t="shared" si="7"/>
        <v>0</v>
      </c>
      <c r="AE41" s="294">
        <f t="shared" si="8"/>
        <v>0</v>
      </c>
      <c r="AF41" s="294">
        <f t="shared" si="9"/>
        <v>3750</v>
      </c>
      <c r="AG41" s="294">
        <f t="shared" si="10"/>
        <v>3750</v>
      </c>
      <c r="AH41" s="294">
        <f t="shared" si="11"/>
        <v>3750</v>
      </c>
      <c r="AI41" s="294">
        <f t="shared" si="12"/>
        <v>3750</v>
      </c>
      <c r="AJ41" s="294">
        <f t="shared" si="13"/>
        <v>3750</v>
      </c>
      <c r="AK41" s="294">
        <f t="shared" si="14"/>
        <v>3750</v>
      </c>
      <c r="AL41" s="294">
        <f t="shared" si="15"/>
        <v>3750</v>
      </c>
      <c r="AM41" s="294">
        <f t="shared" si="16"/>
        <v>3750</v>
      </c>
      <c r="AN41" s="294">
        <f t="shared" si="17"/>
        <v>3750</v>
      </c>
      <c r="AO41" s="294">
        <f t="shared" si="18"/>
        <v>3750</v>
      </c>
      <c r="AP41" s="294">
        <f t="shared" si="19"/>
        <v>3750</v>
      </c>
      <c r="AQ41" s="294">
        <f t="shared" si="20"/>
        <v>3750</v>
      </c>
      <c r="AR41" s="294">
        <f t="shared" si="21"/>
        <v>3750</v>
      </c>
      <c r="AS41" s="294">
        <f t="shared" si="22"/>
        <v>0</v>
      </c>
    </row>
    <row r="42" spans="2:45" ht="15.95" customHeight="1">
      <c r="B42" s="530"/>
      <c r="C42" s="304" t="s">
        <v>4085</v>
      </c>
      <c r="D42" s="294" t="s">
        <v>3946</v>
      </c>
      <c r="E42" s="307"/>
      <c r="F42" s="307"/>
      <c r="G42" s="308"/>
      <c r="H42" s="307"/>
      <c r="I42" s="307"/>
      <c r="J42" s="296">
        <v>1</v>
      </c>
      <c r="K42" s="296">
        <v>1</v>
      </c>
      <c r="L42" s="296">
        <v>1</v>
      </c>
      <c r="M42" s="296">
        <v>1</v>
      </c>
      <c r="N42" s="296">
        <v>1</v>
      </c>
      <c r="O42" s="296">
        <v>1</v>
      </c>
      <c r="P42" s="296">
        <v>1</v>
      </c>
      <c r="Q42" s="296">
        <v>1</v>
      </c>
      <c r="R42" s="296">
        <v>1</v>
      </c>
      <c r="S42" s="307"/>
      <c r="T42" s="307"/>
      <c r="U42" s="307"/>
      <c r="X42" s="296">
        <f t="shared" si="3"/>
        <v>1</v>
      </c>
      <c r="Y42" s="296">
        <f t="shared" si="4"/>
        <v>9</v>
      </c>
      <c r="Z42" s="306">
        <v>4200</v>
      </c>
      <c r="AA42" s="306">
        <f t="shared" si="0"/>
        <v>37800</v>
      </c>
      <c r="AB42" s="306">
        <f t="shared" si="5"/>
        <v>56700</v>
      </c>
      <c r="AC42" s="294">
        <f t="shared" si="6"/>
        <v>0</v>
      </c>
      <c r="AD42" s="294">
        <f t="shared" si="7"/>
        <v>0</v>
      </c>
      <c r="AE42" s="294">
        <f t="shared" si="8"/>
        <v>0</v>
      </c>
      <c r="AF42" s="294">
        <f t="shared" si="9"/>
        <v>0</v>
      </c>
      <c r="AG42" s="294">
        <f t="shared" si="10"/>
        <v>6300</v>
      </c>
      <c r="AH42" s="294">
        <f t="shared" si="11"/>
        <v>6300</v>
      </c>
      <c r="AI42" s="294">
        <f t="shared" si="12"/>
        <v>6300</v>
      </c>
      <c r="AJ42" s="294">
        <f t="shared" si="13"/>
        <v>6300</v>
      </c>
      <c r="AK42" s="294">
        <f t="shared" si="14"/>
        <v>6300</v>
      </c>
      <c r="AL42" s="294">
        <f t="shared" si="15"/>
        <v>6300</v>
      </c>
      <c r="AM42" s="294">
        <f t="shared" si="16"/>
        <v>6300</v>
      </c>
      <c r="AN42" s="294">
        <f t="shared" si="17"/>
        <v>6300</v>
      </c>
      <c r="AO42" s="294">
        <f t="shared" si="18"/>
        <v>6300</v>
      </c>
      <c r="AP42" s="294">
        <f t="shared" si="19"/>
        <v>0</v>
      </c>
      <c r="AQ42" s="294">
        <f t="shared" si="20"/>
        <v>0</v>
      </c>
      <c r="AR42" s="294">
        <f t="shared" si="21"/>
        <v>0</v>
      </c>
      <c r="AS42" s="294">
        <f t="shared" si="22"/>
        <v>0</v>
      </c>
    </row>
    <row r="43" spans="2:45" ht="15.95" customHeight="1">
      <c r="B43" s="530"/>
      <c r="C43" s="304" t="s">
        <v>4085</v>
      </c>
      <c r="D43" s="294" t="s">
        <v>3949</v>
      </c>
      <c r="E43" s="307"/>
      <c r="F43" s="307"/>
      <c r="G43" s="308"/>
      <c r="H43" s="296">
        <v>1</v>
      </c>
      <c r="I43" s="296">
        <v>1</v>
      </c>
      <c r="J43" s="296">
        <v>1</v>
      </c>
      <c r="K43" s="296">
        <v>1</v>
      </c>
      <c r="L43" s="296">
        <v>1</v>
      </c>
      <c r="M43" s="296">
        <v>1</v>
      </c>
      <c r="N43" s="296">
        <v>1</v>
      </c>
      <c r="O43" s="296">
        <v>1</v>
      </c>
      <c r="P43" s="296">
        <v>1</v>
      </c>
      <c r="Q43" s="296">
        <v>1</v>
      </c>
      <c r="R43" s="296">
        <v>1</v>
      </c>
      <c r="S43" s="296">
        <v>1</v>
      </c>
      <c r="T43" s="296">
        <v>1</v>
      </c>
      <c r="U43" s="307"/>
      <c r="X43" s="296">
        <f t="shared" si="3"/>
        <v>1</v>
      </c>
      <c r="Y43" s="296">
        <f t="shared" si="4"/>
        <v>13</v>
      </c>
      <c r="Z43" s="306">
        <v>1500</v>
      </c>
      <c r="AA43" s="306">
        <f t="shared" si="0"/>
        <v>19500</v>
      </c>
      <c r="AB43" s="306">
        <f t="shared" si="5"/>
        <v>29250</v>
      </c>
      <c r="AC43" s="294">
        <f t="shared" si="6"/>
        <v>0</v>
      </c>
      <c r="AD43" s="294">
        <f t="shared" si="7"/>
        <v>0</v>
      </c>
      <c r="AE43" s="294">
        <f t="shared" si="8"/>
        <v>2250</v>
      </c>
      <c r="AF43" s="294">
        <f t="shared" si="9"/>
        <v>2250</v>
      </c>
      <c r="AG43" s="294">
        <f t="shared" si="10"/>
        <v>2250</v>
      </c>
      <c r="AH43" s="294">
        <f t="shared" si="11"/>
        <v>2250</v>
      </c>
      <c r="AI43" s="294">
        <f t="shared" si="12"/>
        <v>2250</v>
      </c>
      <c r="AJ43" s="294">
        <f t="shared" si="13"/>
        <v>2250</v>
      </c>
      <c r="AK43" s="294">
        <f t="shared" si="14"/>
        <v>2250</v>
      </c>
      <c r="AL43" s="294">
        <f t="shared" si="15"/>
        <v>2250</v>
      </c>
      <c r="AM43" s="294">
        <f t="shared" si="16"/>
        <v>2250</v>
      </c>
      <c r="AN43" s="294">
        <f t="shared" si="17"/>
        <v>2250</v>
      </c>
      <c r="AO43" s="294">
        <f t="shared" si="18"/>
        <v>2250</v>
      </c>
      <c r="AP43" s="294">
        <f t="shared" si="19"/>
        <v>2250</v>
      </c>
      <c r="AQ43" s="294">
        <f t="shared" si="20"/>
        <v>2250</v>
      </c>
      <c r="AR43" s="294">
        <f t="shared" si="21"/>
        <v>0</v>
      </c>
      <c r="AS43" s="294">
        <f t="shared" si="22"/>
        <v>0</v>
      </c>
    </row>
    <row r="44" spans="2:45" ht="15.95" customHeight="1">
      <c r="B44" s="530"/>
      <c r="C44" s="304" t="s">
        <v>4085</v>
      </c>
      <c r="D44" s="294" t="s">
        <v>3952</v>
      </c>
      <c r="E44" s="307"/>
      <c r="F44" s="307"/>
      <c r="G44" s="308"/>
      <c r="H44" s="296">
        <v>2</v>
      </c>
      <c r="I44" s="296">
        <v>3</v>
      </c>
      <c r="J44" s="296">
        <v>4</v>
      </c>
      <c r="K44" s="296">
        <v>5</v>
      </c>
      <c r="L44" s="296">
        <v>5</v>
      </c>
      <c r="M44" s="296">
        <v>5</v>
      </c>
      <c r="N44" s="296">
        <v>5</v>
      </c>
      <c r="O44" s="296">
        <v>5</v>
      </c>
      <c r="P44" s="296">
        <v>4</v>
      </c>
      <c r="Q44" s="296">
        <v>4</v>
      </c>
      <c r="R44" s="296">
        <v>4</v>
      </c>
      <c r="S44" s="296">
        <v>4</v>
      </c>
      <c r="T44" s="296">
        <v>3</v>
      </c>
      <c r="U44" s="296">
        <v>2</v>
      </c>
      <c r="X44" s="296">
        <f t="shared" si="3"/>
        <v>5</v>
      </c>
      <c r="Y44" s="296">
        <f t="shared" si="4"/>
        <v>55</v>
      </c>
      <c r="Z44" s="306">
        <v>2700</v>
      </c>
      <c r="AA44" s="306">
        <f t="shared" si="0"/>
        <v>148500</v>
      </c>
      <c r="AB44" s="306">
        <f t="shared" si="5"/>
        <v>222750</v>
      </c>
      <c r="AC44" s="294">
        <f t="shared" si="6"/>
        <v>0</v>
      </c>
      <c r="AD44" s="294">
        <f t="shared" si="7"/>
        <v>0</v>
      </c>
      <c r="AE44" s="294">
        <f t="shared" si="8"/>
        <v>8100</v>
      </c>
      <c r="AF44" s="294">
        <f t="shared" si="9"/>
        <v>12150</v>
      </c>
      <c r="AG44" s="294">
        <f t="shared" si="10"/>
        <v>16200</v>
      </c>
      <c r="AH44" s="294">
        <f t="shared" si="11"/>
        <v>20250</v>
      </c>
      <c r="AI44" s="294">
        <f t="shared" si="12"/>
        <v>20250</v>
      </c>
      <c r="AJ44" s="294">
        <f t="shared" si="13"/>
        <v>20250</v>
      </c>
      <c r="AK44" s="294">
        <f t="shared" si="14"/>
        <v>20250</v>
      </c>
      <c r="AL44" s="294">
        <f t="shared" si="15"/>
        <v>20250</v>
      </c>
      <c r="AM44" s="294">
        <f t="shared" si="16"/>
        <v>16200</v>
      </c>
      <c r="AN44" s="294">
        <f t="shared" si="17"/>
        <v>16200</v>
      </c>
      <c r="AO44" s="294">
        <f t="shared" si="18"/>
        <v>16200</v>
      </c>
      <c r="AP44" s="294">
        <f t="shared" si="19"/>
        <v>16200</v>
      </c>
      <c r="AQ44" s="294">
        <f t="shared" si="20"/>
        <v>12150</v>
      </c>
      <c r="AR44" s="294">
        <f t="shared" si="21"/>
        <v>8100</v>
      </c>
      <c r="AS44" s="294">
        <f t="shared" si="22"/>
        <v>0</v>
      </c>
    </row>
    <row r="45" spans="2:45" ht="15.95" customHeight="1">
      <c r="B45" s="530"/>
      <c r="C45" s="304" t="s">
        <v>4085</v>
      </c>
      <c r="D45" s="294" t="s">
        <v>3955</v>
      </c>
      <c r="E45" s="307"/>
      <c r="F45" s="307"/>
      <c r="G45" s="305">
        <v>1</v>
      </c>
      <c r="H45" s="296">
        <v>1</v>
      </c>
      <c r="I45" s="296">
        <v>1</v>
      </c>
      <c r="J45" s="296">
        <v>1</v>
      </c>
      <c r="K45" s="296">
        <v>1</v>
      </c>
      <c r="L45" s="296">
        <v>1</v>
      </c>
      <c r="M45" s="296">
        <v>1</v>
      </c>
      <c r="N45" s="296">
        <v>1</v>
      </c>
      <c r="O45" s="296">
        <v>1</v>
      </c>
      <c r="P45" s="296">
        <v>1</v>
      </c>
      <c r="Q45" s="296">
        <v>1</v>
      </c>
      <c r="R45" s="296">
        <v>1</v>
      </c>
      <c r="S45" s="296">
        <v>1</v>
      </c>
      <c r="T45" s="296">
        <v>1</v>
      </c>
      <c r="U45" s="296">
        <v>1</v>
      </c>
      <c r="X45" s="296">
        <f t="shared" si="3"/>
        <v>1</v>
      </c>
      <c r="Y45" s="296">
        <f t="shared" si="4"/>
        <v>15</v>
      </c>
      <c r="Z45" s="306">
        <v>1130</v>
      </c>
      <c r="AA45" s="306">
        <f t="shared" si="0"/>
        <v>16950</v>
      </c>
      <c r="AB45" s="306">
        <f t="shared" si="5"/>
        <v>25425</v>
      </c>
      <c r="AC45" s="294">
        <f t="shared" si="6"/>
        <v>0</v>
      </c>
      <c r="AD45" s="294">
        <f t="shared" si="7"/>
        <v>1695</v>
      </c>
      <c r="AE45" s="294">
        <f t="shared" si="8"/>
        <v>1695</v>
      </c>
      <c r="AF45" s="294">
        <f t="shared" si="9"/>
        <v>1695</v>
      </c>
      <c r="AG45" s="294">
        <f t="shared" si="10"/>
        <v>1695</v>
      </c>
      <c r="AH45" s="294">
        <f t="shared" si="11"/>
        <v>1695</v>
      </c>
      <c r="AI45" s="294">
        <f t="shared" si="12"/>
        <v>1695</v>
      </c>
      <c r="AJ45" s="294">
        <f t="shared" si="13"/>
        <v>1695</v>
      </c>
      <c r="AK45" s="294">
        <f t="shared" si="14"/>
        <v>1695</v>
      </c>
      <c r="AL45" s="294">
        <f t="shared" si="15"/>
        <v>1695</v>
      </c>
      <c r="AM45" s="294">
        <f t="shared" si="16"/>
        <v>1695</v>
      </c>
      <c r="AN45" s="294">
        <f t="shared" si="17"/>
        <v>1695</v>
      </c>
      <c r="AO45" s="294">
        <f t="shared" si="18"/>
        <v>1695</v>
      </c>
      <c r="AP45" s="294">
        <f t="shared" si="19"/>
        <v>1695</v>
      </c>
      <c r="AQ45" s="294">
        <f t="shared" si="20"/>
        <v>1695</v>
      </c>
      <c r="AR45" s="294">
        <f t="shared" si="21"/>
        <v>1695</v>
      </c>
      <c r="AS45" s="294">
        <f t="shared" si="22"/>
        <v>0</v>
      </c>
    </row>
    <row r="46" spans="2:45" ht="15.95" customHeight="1">
      <c r="B46" s="530"/>
      <c r="C46" s="304" t="s">
        <v>4085</v>
      </c>
      <c r="D46" s="294" t="s">
        <v>4099</v>
      </c>
      <c r="E46" s="307"/>
      <c r="F46" s="307"/>
      <c r="G46" s="308"/>
      <c r="H46" s="307"/>
      <c r="I46" s="307"/>
      <c r="J46" s="296">
        <v>1</v>
      </c>
      <c r="K46" s="296">
        <v>1</v>
      </c>
      <c r="L46" s="296">
        <v>1</v>
      </c>
      <c r="M46" s="296">
        <v>1</v>
      </c>
      <c r="N46" s="296">
        <v>1</v>
      </c>
      <c r="O46" s="296">
        <v>1</v>
      </c>
      <c r="P46" s="296">
        <v>1</v>
      </c>
      <c r="Q46" s="296">
        <v>1</v>
      </c>
      <c r="R46" s="296">
        <v>1</v>
      </c>
      <c r="S46" s="296">
        <v>1</v>
      </c>
      <c r="T46" s="296">
        <v>1</v>
      </c>
      <c r="U46" s="307"/>
      <c r="X46" s="296">
        <f t="shared" ref="X46" si="26">MAX(E46:W46)</f>
        <v>1</v>
      </c>
      <c r="Y46" s="296">
        <f t="shared" ref="Y46" si="27">SUM(E46:W46)</f>
        <v>11</v>
      </c>
      <c r="Z46" s="306">
        <v>3000</v>
      </c>
      <c r="AA46" s="306">
        <f t="shared" ref="AA46" si="28">PRODUCT(Y46:Z46)</f>
        <v>33000</v>
      </c>
      <c r="AB46" s="306">
        <f t="shared" si="5"/>
        <v>49500</v>
      </c>
      <c r="AC46" s="294">
        <f t="shared" si="6"/>
        <v>0</v>
      </c>
      <c r="AD46" s="294">
        <f t="shared" si="7"/>
        <v>0</v>
      </c>
      <c r="AE46" s="294">
        <f t="shared" si="8"/>
        <v>0</v>
      </c>
      <c r="AF46" s="294">
        <f t="shared" si="9"/>
        <v>0</v>
      </c>
      <c r="AG46" s="294">
        <f t="shared" si="10"/>
        <v>4500</v>
      </c>
      <c r="AH46" s="294">
        <f t="shared" si="11"/>
        <v>4500</v>
      </c>
      <c r="AI46" s="294">
        <f t="shared" si="12"/>
        <v>4500</v>
      </c>
      <c r="AJ46" s="294">
        <f t="shared" si="13"/>
        <v>4500</v>
      </c>
      <c r="AK46" s="294">
        <f t="shared" si="14"/>
        <v>4500</v>
      </c>
      <c r="AL46" s="294">
        <f t="shared" si="15"/>
        <v>4500</v>
      </c>
      <c r="AM46" s="294">
        <f t="shared" si="16"/>
        <v>4500</v>
      </c>
      <c r="AN46" s="294">
        <f t="shared" si="17"/>
        <v>4500</v>
      </c>
      <c r="AO46" s="294">
        <f t="shared" si="18"/>
        <v>4500</v>
      </c>
      <c r="AP46" s="294">
        <f t="shared" si="19"/>
        <v>4500</v>
      </c>
      <c r="AQ46" s="294">
        <f t="shared" si="20"/>
        <v>4500</v>
      </c>
      <c r="AR46" s="294">
        <f t="shared" si="21"/>
        <v>0</v>
      </c>
      <c r="AS46" s="294">
        <f t="shared" si="22"/>
        <v>0</v>
      </c>
    </row>
    <row r="47" spans="2:45" ht="15.95" customHeight="1">
      <c r="B47" s="530"/>
      <c r="C47" s="304" t="s">
        <v>4085</v>
      </c>
      <c r="D47" s="294" t="s">
        <v>3956</v>
      </c>
      <c r="E47" s="307"/>
      <c r="F47" s="307"/>
      <c r="G47" s="308"/>
      <c r="H47" s="296">
        <v>1</v>
      </c>
      <c r="I47" s="296">
        <v>1</v>
      </c>
      <c r="J47" s="296">
        <v>1</v>
      </c>
      <c r="K47" s="296">
        <v>1</v>
      </c>
      <c r="L47" s="296">
        <v>1</v>
      </c>
      <c r="M47" s="296">
        <v>1</v>
      </c>
      <c r="N47" s="296">
        <v>1</v>
      </c>
      <c r="O47" s="296">
        <v>1</v>
      </c>
      <c r="P47" s="296">
        <v>1</v>
      </c>
      <c r="Q47" s="296">
        <v>1</v>
      </c>
      <c r="R47" s="296">
        <v>1</v>
      </c>
      <c r="S47" s="296">
        <v>1</v>
      </c>
      <c r="T47" s="296">
        <v>1</v>
      </c>
      <c r="U47" s="307"/>
      <c r="X47" s="296">
        <f t="shared" si="3"/>
        <v>1</v>
      </c>
      <c r="Y47" s="296">
        <f t="shared" si="4"/>
        <v>13</v>
      </c>
      <c r="Z47" s="306">
        <v>5000</v>
      </c>
      <c r="AA47" s="306">
        <f t="shared" si="0"/>
        <v>65000</v>
      </c>
      <c r="AB47" s="306">
        <f t="shared" si="5"/>
        <v>97500</v>
      </c>
      <c r="AC47" s="294">
        <f t="shared" si="6"/>
        <v>0</v>
      </c>
      <c r="AD47" s="294">
        <f t="shared" si="7"/>
        <v>0</v>
      </c>
      <c r="AE47" s="294">
        <f t="shared" si="8"/>
        <v>7500</v>
      </c>
      <c r="AF47" s="294">
        <f t="shared" si="9"/>
        <v>7500</v>
      </c>
      <c r="AG47" s="294">
        <f t="shared" si="10"/>
        <v>7500</v>
      </c>
      <c r="AH47" s="294">
        <f t="shared" si="11"/>
        <v>7500</v>
      </c>
      <c r="AI47" s="294">
        <f t="shared" si="12"/>
        <v>7500</v>
      </c>
      <c r="AJ47" s="294">
        <f t="shared" si="13"/>
        <v>7500</v>
      </c>
      <c r="AK47" s="294">
        <f t="shared" si="14"/>
        <v>7500</v>
      </c>
      <c r="AL47" s="294">
        <f t="shared" si="15"/>
        <v>7500</v>
      </c>
      <c r="AM47" s="294">
        <f t="shared" si="16"/>
        <v>7500</v>
      </c>
      <c r="AN47" s="294">
        <f t="shared" si="17"/>
        <v>7500</v>
      </c>
      <c r="AO47" s="294">
        <f t="shared" si="18"/>
        <v>7500</v>
      </c>
      <c r="AP47" s="294">
        <f t="shared" si="19"/>
        <v>7500</v>
      </c>
      <c r="AQ47" s="294">
        <f t="shared" si="20"/>
        <v>7500</v>
      </c>
      <c r="AR47" s="294">
        <f t="shared" si="21"/>
        <v>0</v>
      </c>
      <c r="AS47" s="294">
        <f t="shared" si="22"/>
        <v>0</v>
      </c>
    </row>
    <row r="48" spans="2:45" ht="15.95" customHeight="1" thickBot="1">
      <c r="B48" s="531"/>
      <c r="C48" s="309" t="s">
        <v>4085</v>
      </c>
      <c r="D48" s="310" t="s">
        <v>3957</v>
      </c>
      <c r="E48" s="311"/>
      <c r="F48" s="313">
        <v>2</v>
      </c>
      <c r="G48" s="312">
        <v>2</v>
      </c>
      <c r="H48" s="313">
        <v>2</v>
      </c>
      <c r="I48" s="313">
        <v>2</v>
      </c>
      <c r="J48" s="313">
        <v>4</v>
      </c>
      <c r="K48" s="313">
        <v>4</v>
      </c>
      <c r="L48" s="313">
        <v>4</v>
      </c>
      <c r="M48" s="313">
        <v>4</v>
      </c>
      <c r="N48" s="313">
        <v>4</v>
      </c>
      <c r="O48" s="313">
        <v>4</v>
      </c>
      <c r="P48" s="313">
        <v>2</v>
      </c>
      <c r="Q48" s="313">
        <v>2</v>
      </c>
      <c r="R48" s="313">
        <v>2</v>
      </c>
      <c r="S48" s="313">
        <v>2</v>
      </c>
      <c r="T48" s="313">
        <v>2</v>
      </c>
      <c r="U48" s="311">
        <v>1</v>
      </c>
      <c r="V48" s="313"/>
      <c r="W48" s="310"/>
      <c r="X48" s="296">
        <f t="shared" si="3"/>
        <v>4</v>
      </c>
      <c r="Y48" s="296">
        <f t="shared" si="4"/>
        <v>43</v>
      </c>
      <c r="Z48" s="306">
        <v>2000</v>
      </c>
      <c r="AA48" s="306">
        <f t="shared" si="0"/>
        <v>86000</v>
      </c>
      <c r="AB48" s="306">
        <f t="shared" si="5"/>
        <v>129000</v>
      </c>
      <c r="AC48" s="294">
        <f t="shared" si="6"/>
        <v>6000</v>
      </c>
      <c r="AD48" s="294">
        <f t="shared" si="7"/>
        <v>6000</v>
      </c>
      <c r="AE48" s="294">
        <f t="shared" si="8"/>
        <v>6000</v>
      </c>
      <c r="AF48" s="294">
        <f t="shared" si="9"/>
        <v>6000</v>
      </c>
      <c r="AG48" s="294">
        <f t="shared" si="10"/>
        <v>12000</v>
      </c>
      <c r="AH48" s="294">
        <f t="shared" si="11"/>
        <v>12000</v>
      </c>
      <c r="AI48" s="294">
        <f t="shared" si="12"/>
        <v>12000</v>
      </c>
      <c r="AJ48" s="294">
        <f t="shared" si="13"/>
        <v>12000</v>
      </c>
      <c r="AK48" s="294">
        <f t="shared" si="14"/>
        <v>12000</v>
      </c>
      <c r="AL48" s="294">
        <f t="shared" si="15"/>
        <v>12000</v>
      </c>
      <c r="AM48" s="294">
        <f t="shared" si="16"/>
        <v>6000</v>
      </c>
      <c r="AN48" s="294">
        <f t="shared" si="17"/>
        <v>6000</v>
      </c>
      <c r="AO48" s="294">
        <f t="shared" si="18"/>
        <v>6000</v>
      </c>
      <c r="AP48" s="294">
        <f t="shared" si="19"/>
        <v>6000</v>
      </c>
      <c r="AQ48" s="294">
        <f t="shared" si="20"/>
        <v>6000</v>
      </c>
      <c r="AR48" s="294">
        <f t="shared" si="21"/>
        <v>3000</v>
      </c>
      <c r="AS48" s="294">
        <f t="shared" si="22"/>
        <v>0</v>
      </c>
    </row>
    <row r="49" spans="5:44">
      <c r="G49" s="305"/>
      <c r="AC49" s="294">
        <v>179850</v>
      </c>
      <c r="AD49" s="294">
        <v>150045</v>
      </c>
      <c r="AE49" s="294">
        <v>216195</v>
      </c>
      <c r="AF49" s="294">
        <v>269895</v>
      </c>
      <c r="AG49" s="294">
        <v>316995</v>
      </c>
      <c r="AH49" s="294">
        <v>327795</v>
      </c>
      <c r="AI49" s="294">
        <v>327795</v>
      </c>
      <c r="AJ49" s="294">
        <v>327795</v>
      </c>
      <c r="AK49" s="294">
        <v>327795</v>
      </c>
      <c r="AL49" s="294">
        <v>312795</v>
      </c>
      <c r="AM49" s="294">
        <v>295995</v>
      </c>
      <c r="AN49" s="294">
        <v>301245</v>
      </c>
      <c r="AO49" s="294">
        <v>301245</v>
      </c>
      <c r="AP49" s="294">
        <v>254145</v>
      </c>
      <c r="AQ49" s="294">
        <v>242595</v>
      </c>
      <c r="AR49" s="294">
        <v>175545</v>
      </c>
    </row>
    <row r="50" spans="5:44">
      <c r="E50" s="296">
        <f>SUM(E10:E48)</f>
        <v>4</v>
      </c>
      <c r="F50" s="296">
        <f t="shared" ref="F50:X50" si="29">SUM(F10:F48)</f>
        <v>13</v>
      </c>
      <c r="G50" s="305">
        <f t="shared" si="29"/>
        <v>17</v>
      </c>
      <c r="H50" s="296">
        <f t="shared" si="29"/>
        <v>28</v>
      </c>
      <c r="I50" s="296">
        <f t="shared" si="29"/>
        <v>38</v>
      </c>
      <c r="J50" s="296">
        <f t="shared" si="29"/>
        <v>47</v>
      </c>
      <c r="K50" s="296">
        <f t="shared" si="29"/>
        <v>49</v>
      </c>
      <c r="L50" s="296">
        <f t="shared" si="29"/>
        <v>49</v>
      </c>
      <c r="M50" s="296">
        <f t="shared" si="29"/>
        <v>49</v>
      </c>
      <c r="N50" s="296">
        <f t="shared" si="29"/>
        <v>49</v>
      </c>
      <c r="O50" s="296">
        <f t="shared" si="29"/>
        <v>47</v>
      </c>
      <c r="P50" s="296">
        <f t="shared" si="29"/>
        <v>43</v>
      </c>
      <c r="Q50" s="296">
        <f t="shared" si="29"/>
        <v>43</v>
      </c>
      <c r="R50" s="296">
        <f t="shared" si="29"/>
        <v>43</v>
      </c>
      <c r="S50" s="296">
        <f t="shared" si="29"/>
        <v>37</v>
      </c>
      <c r="T50" s="296">
        <f t="shared" si="29"/>
        <v>35</v>
      </c>
      <c r="U50" s="296">
        <f t="shared" si="29"/>
        <v>23</v>
      </c>
      <c r="V50" s="296">
        <f t="shared" si="29"/>
        <v>0</v>
      </c>
      <c r="W50" s="296">
        <f t="shared" si="29"/>
        <v>0</v>
      </c>
      <c r="X50" s="296">
        <f t="shared" si="29"/>
        <v>51</v>
      </c>
      <c r="AA50" s="409">
        <f>SUM(AA10:AA49)</f>
        <v>2885150</v>
      </c>
      <c r="AB50" s="409">
        <f>SUM(AB10:AB49)</f>
        <v>4327725</v>
      </c>
    </row>
    <row r="53" spans="5:44">
      <c r="AB53" s="294">
        <f>+AB50/16</f>
        <v>270482.8125</v>
      </c>
    </row>
  </sheetData>
  <mergeCells count="5">
    <mergeCell ref="F3:W3"/>
    <mergeCell ref="H6:U6"/>
    <mergeCell ref="B10:B13"/>
    <mergeCell ref="B14:B38"/>
    <mergeCell ref="B39:B4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7"/>
  <sheetViews>
    <sheetView showGridLines="0" topLeftCell="A4" zoomScale="90" zoomScaleNormal="90" workbookViewId="0">
      <selection activeCell="AI14" sqref="AI14"/>
    </sheetView>
  </sheetViews>
  <sheetFormatPr baseColWidth="10" defaultColWidth="10.85546875" defaultRowHeight="12.75"/>
  <cols>
    <col min="1" max="1" width="1.85546875" style="126" customWidth="1"/>
    <col min="2" max="2" width="6.85546875" style="130" customWidth="1"/>
    <col min="3" max="3" width="49.5703125" style="126" customWidth="1"/>
    <col min="4" max="4" width="12.140625" style="126" customWidth="1"/>
    <col min="5" max="5" width="14.140625" style="126" customWidth="1"/>
    <col min="6" max="6" width="16.42578125" style="126" customWidth="1"/>
    <col min="7" max="7" width="15.85546875" style="126" bestFit="1" customWidth="1"/>
    <col min="8" max="8" width="1.85546875" style="126" customWidth="1"/>
    <col min="9" max="9" width="4.85546875" style="130" customWidth="1"/>
    <col min="10" max="10" width="9.85546875" style="130" bestFit="1" customWidth="1"/>
    <col min="11" max="11" width="10.42578125" style="126" bestFit="1" customWidth="1"/>
    <col min="12" max="12" width="10" style="126" bestFit="1" customWidth="1"/>
    <col min="13" max="13" width="13.85546875" style="126" bestFit="1" customWidth="1"/>
    <col min="14" max="14" width="8.140625" style="126" bestFit="1" customWidth="1"/>
    <col min="15" max="15" width="13.85546875" style="126" bestFit="1" customWidth="1"/>
    <col min="16" max="16384" width="10.85546875" style="126"/>
  </cols>
  <sheetData>
    <row r="2" spans="2:15">
      <c r="B2" s="536" t="s">
        <v>4100</v>
      </c>
      <c r="C2" s="536"/>
      <c r="D2" s="536"/>
      <c r="E2" s="536"/>
      <c r="F2" s="536"/>
      <c r="G2" s="536"/>
    </row>
    <row r="3" spans="2:15">
      <c r="B3" s="536"/>
      <c r="C3" s="536"/>
      <c r="D3" s="536"/>
      <c r="E3" s="536"/>
      <c r="F3" s="536"/>
      <c r="G3" s="536"/>
    </row>
    <row r="4" spans="2:15">
      <c r="F4" s="137" t="s">
        <v>4101</v>
      </c>
      <c r="G4" s="137">
        <v>1000</v>
      </c>
      <c r="H4" s="126" t="s">
        <v>4102</v>
      </c>
    </row>
    <row r="5" spans="2:15" ht="14.45" customHeight="1">
      <c r="B5" s="533" t="s">
        <v>4103</v>
      </c>
      <c r="C5" s="533" t="s">
        <v>4104</v>
      </c>
      <c r="D5" s="127" t="s">
        <v>4105</v>
      </c>
      <c r="E5" s="127" t="s">
        <v>4106</v>
      </c>
      <c r="F5" s="127" t="s">
        <v>4107</v>
      </c>
      <c r="G5" s="534" t="s">
        <v>4108</v>
      </c>
    </row>
    <row r="6" spans="2:15" ht="25.5">
      <c r="B6" s="533"/>
      <c r="C6" s="533"/>
      <c r="D6" s="414" t="s">
        <v>4109</v>
      </c>
      <c r="E6" s="127" t="s">
        <v>4110</v>
      </c>
      <c r="F6" s="414" t="s">
        <v>4111</v>
      </c>
      <c r="G6" s="535"/>
      <c r="I6" s="230" t="s">
        <v>287</v>
      </c>
      <c r="J6" s="230" t="s">
        <v>4112</v>
      </c>
      <c r="K6" s="230" t="s">
        <v>4113</v>
      </c>
      <c r="L6" s="230" t="s">
        <v>4114</v>
      </c>
      <c r="M6" s="230" t="s">
        <v>4115</v>
      </c>
      <c r="N6" s="230" t="s">
        <v>4116</v>
      </c>
      <c r="O6" s="230" t="s">
        <v>4117</v>
      </c>
    </row>
    <row r="7" spans="2:15">
      <c r="B7" s="413">
        <v>1</v>
      </c>
      <c r="C7" s="410" t="s">
        <v>4118</v>
      </c>
      <c r="D7" s="415">
        <v>0.7</v>
      </c>
      <c r="E7" s="412">
        <f>200000/$G$4</f>
        <v>200</v>
      </c>
      <c r="F7" s="412">
        <f t="shared" ref="F7:F12" si="0">+E7*D7</f>
        <v>140</v>
      </c>
      <c r="G7" s="412"/>
      <c r="I7" s="126"/>
      <c r="J7" s="126"/>
    </row>
    <row r="8" spans="2:15">
      <c r="B8" s="413">
        <v>2</v>
      </c>
      <c r="C8" s="410" t="s">
        <v>4119</v>
      </c>
      <c r="D8" s="415">
        <v>0.5</v>
      </c>
      <c r="E8" s="412">
        <f>+O8/$G$4</f>
        <v>126.25920000000001</v>
      </c>
      <c r="F8" s="412">
        <f t="shared" si="0"/>
        <v>63.129600000000003</v>
      </c>
      <c r="G8" s="412"/>
      <c r="I8" s="130" t="s">
        <v>4120</v>
      </c>
      <c r="J8" s="130">
        <v>12000</v>
      </c>
      <c r="K8" s="419">
        <f>+J8*4%</f>
        <v>480</v>
      </c>
      <c r="L8" s="420">
        <v>263.04000000000002</v>
      </c>
      <c r="M8" s="418">
        <f>+L8*K8</f>
        <v>126259.20000000001</v>
      </c>
      <c r="N8" s="417">
        <v>0</v>
      </c>
      <c r="O8" s="418">
        <f>+M8*(1+N8)</f>
        <v>126259.20000000001</v>
      </c>
    </row>
    <row r="9" spans="2:15" ht="25.5">
      <c r="B9" s="413">
        <v>3</v>
      </c>
      <c r="C9" s="423" t="s">
        <v>4121</v>
      </c>
      <c r="D9" s="415">
        <v>0.5</v>
      </c>
      <c r="E9" s="412">
        <f>+O9/$G$4</f>
        <v>368.32319999999999</v>
      </c>
      <c r="F9" s="412">
        <f t="shared" si="0"/>
        <v>184.16159999999999</v>
      </c>
      <c r="G9" s="412"/>
      <c r="I9" s="130" t="s">
        <v>69</v>
      </c>
      <c r="K9" s="419">
        <f>((2+0.24+1.24)*15%)*1000*5.88</f>
        <v>3069.36</v>
      </c>
      <c r="L9" s="420">
        <v>120</v>
      </c>
      <c r="M9" s="418">
        <f>+L9*K9</f>
        <v>368323.2</v>
      </c>
      <c r="O9" s="418">
        <f>+M9*(1+N9)</f>
        <v>368323.2</v>
      </c>
    </row>
    <row r="10" spans="2:15">
      <c r="B10" s="413">
        <v>4</v>
      </c>
      <c r="C10" s="410" t="s">
        <v>4122</v>
      </c>
      <c r="D10" s="415">
        <v>0.3</v>
      </c>
      <c r="E10" s="412">
        <f>+O10/$G$4</f>
        <v>1016.4</v>
      </c>
      <c r="F10" s="412">
        <f t="shared" si="0"/>
        <v>304.91999999999996</v>
      </c>
      <c r="G10" s="412"/>
      <c r="I10" s="130" t="s">
        <v>3977</v>
      </c>
      <c r="K10" s="419">
        <v>4</v>
      </c>
      <c r="L10" s="420">
        <f>(280*220*27.5)*15%</f>
        <v>254100</v>
      </c>
      <c r="M10" s="418">
        <f>+L10*K10</f>
        <v>1016400</v>
      </c>
      <c r="O10" s="418">
        <f>+M10*(1+N10)</f>
        <v>1016400</v>
      </c>
    </row>
    <row r="11" spans="2:15">
      <c r="B11" s="413">
        <v>5</v>
      </c>
      <c r="C11" s="410" t="s">
        <v>4123</v>
      </c>
      <c r="D11" s="415">
        <v>0.2</v>
      </c>
      <c r="E11" s="412">
        <f>+O11/$G$4</f>
        <v>520.41600000000005</v>
      </c>
      <c r="F11" s="412">
        <f t="shared" si="0"/>
        <v>104.08320000000002</v>
      </c>
      <c r="G11" s="412"/>
      <c r="I11" s="130" t="s">
        <v>4124</v>
      </c>
      <c r="K11" s="419">
        <f>(2*120*26*3)</f>
        <v>18720</v>
      </c>
      <c r="L11" s="420">
        <v>27.8</v>
      </c>
      <c r="M11" s="418">
        <f>+L11*K11</f>
        <v>520416</v>
      </c>
      <c r="O11" s="418">
        <f>+M11*(1+N11)</f>
        <v>520416</v>
      </c>
    </row>
    <row r="12" spans="2:15">
      <c r="B12" s="413">
        <v>6</v>
      </c>
      <c r="C12" s="410" t="s">
        <v>4125</v>
      </c>
      <c r="D12" s="415">
        <v>0.3</v>
      </c>
      <c r="E12" s="412">
        <f>+O12/$G$4</f>
        <v>351</v>
      </c>
      <c r="F12" s="412">
        <f t="shared" si="0"/>
        <v>105.3</v>
      </c>
      <c r="G12" s="412"/>
      <c r="I12" s="130" t="s">
        <v>57</v>
      </c>
      <c r="K12" s="419">
        <f>(6000)</f>
        <v>6000</v>
      </c>
      <c r="L12" s="420">
        <v>650</v>
      </c>
      <c r="M12" s="418">
        <f>+L12*K12</f>
        <v>3900000</v>
      </c>
      <c r="N12" s="417">
        <v>0.09</v>
      </c>
      <c r="O12" s="418">
        <f>+M12*N12</f>
        <v>351000</v>
      </c>
    </row>
    <row r="13" spans="2:15">
      <c r="B13" s="413">
        <v>7</v>
      </c>
      <c r="C13" s="410" t="s">
        <v>4126</v>
      </c>
      <c r="D13" s="415"/>
      <c r="E13" s="412"/>
      <c r="F13" s="412">
        <v>460</v>
      </c>
      <c r="G13" s="412"/>
    </row>
    <row r="14" spans="2:15">
      <c r="B14" s="413"/>
      <c r="C14" s="410"/>
      <c r="D14" s="415"/>
      <c r="E14" s="412"/>
      <c r="F14" s="412"/>
      <c r="G14" s="412"/>
    </row>
    <row r="15" spans="2:15">
      <c r="E15" s="411">
        <f>SUM(E7:E14)</f>
        <v>2582.3984</v>
      </c>
      <c r="F15" s="411">
        <f>SUM(F7:F14)</f>
        <v>1361.5944</v>
      </c>
      <c r="G15" s="416"/>
    </row>
    <row r="16" spans="2:15">
      <c r="E16" s="142" t="s">
        <v>4127</v>
      </c>
      <c r="F16" s="424" t="e">
        <f>+F15/'Planilla de Cierre - META'!#REF!*1000</f>
        <v>#REF!</v>
      </c>
    </row>
    <row r="17" spans="6:6">
      <c r="F17" s="280"/>
    </row>
  </sheetData>
  <mergeCells count="4">
    <mergeCell ref="C5:C6"/>
    <mergeCell ref="B5:B6"/>
    <mergeCell ref="G5:G6"/>
    <mergeCell ref="B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O58"/>
  <sheetViews>
    <sheetView showGridLines="0" zoomScale="85" zoomScaleNormal="85" workbookViewId="0">
      <selection activeCell="J58" sqref="J58:T61"/>
    </sheetView>
  </sheetViews>
  <sheetFormatPr baseColWidth="10" defaultColWidth="11.42578125" defaultRowHeight="15" outlineLevelRow="1"/>
  <cols>
    <col min="1" max="1" width="5.42578125" style="2" bestFit="1" customWidth="1"/>
    <col min="2" max="2" width="60.140625" style="2" customWidth="1"/>
    <col min="3" max="3" width="15.42578125" style="2" bestFit="1" customWidth="1"/>
    <col min="4" max="4" width="12.5703125" style="3" customWidth="1"/>
    <col min="5" max="5" width="14.5703125" style="2" customWidth="1"/>
    <col min="6" max="6" width="14.140625" style="2" customWidth="1"/>
    <col min="7" max="7" width="16.5703125" style="2" customWidth="1"/>
    <col min="8" max="8" width="15.140625" style="2" customWidth="1"/>
    <col min="9" max="9" width="33.42578125" style="2" customWidth="1"/>
    <col min="10" max="10" width="5.85546875" style="2" customWidth="1"/>
    <col min="11" max="11" width="11.42578125" style="2"/>
    <col min="12" max="12" width="12.42578125" style="2" bestFit="1" customWidth="1"/>
    <col min="13" max="13" width="11.42578125" style="2"/>
    <col min="14" max="14" width="11.85546875" style="2" bestFit="1" customWidth="1"/>
    <col min="15" max="15" width="13.5703125" style="2" bestFit="1" customWidth="1"/>
    <col min="16" max="16384" width="11.42578125" style="2"/>
  </cols>
  <sheetData>
    <row r="1" spans="1:15">
      <c r="A1" s="88" t="str">
        <f>[1]RESUMEN!A1</f>
        <v>CONDUTO PERU</v>
      </c>
      <c r="B1" s="32"/>
      <c r="C1" s="32"/>
      <c r="E1" s="32"/>
      <c r="F1" s="32"/>
      <c r="G1" s="32"/>
      <c r="H1" s="32"/>
      <c r="I1" s="32"/>
    </row>
    <row r="2" spans="1:15">
      <c r="A2" s="88" t="str">
        <f>[1]RESUMEN!A2</f>
        <v>AGUA POTABLE CUSCO</v>
      </c>
      <c r="B2" s="32"/>
      <c r="C2" s="32"/>
      <c r="E2" s="32"/>
      <c r="F2" s="32"/>
      <c r="G2" s="32"/>
      <c r="H2" s="32"/>
      <c r="I2" s="32"/>
    </row>
    <row r="3" spans="1:15">
      <c r="A3" s="88" t="s">
        <v>4128</v>
      </c>
      <c r="B3" s="32"/>
      <c r="C3" s="32"/>
      <c r="E3" s="32"/>
      <c r="F3" s="32"/>
      <c r="G3" s="32"/>
      <c r="H3" s="32"/>
      <c r="I3" s="56" t="s">
        <v>4129</v>
      </c>
      <c r="J3" s="386">
        <v>3.7</v>
      </c>
    </row>
    <row r="4" spans="1:15">
      <c r="A4" s="339"/>
      <c r="C4" s="340"/>
      <c r="H4" s="341" t="s">
        <v>3798</v>
      </c>
      <c r="I4" s="342">
        <v>45397</v>
      </c>
    </row>
    <row r="5" spans="1:15" collapsed="1">
      <c r="A5" s="343" t="s">
        <v>4130</v>
      </c>
      <c r="B5" s="343" t="s">
        <v>1644</v>
      </c>
      <c r="C5" s="343" t="s">
        <v>3960</v>
      </c>
      <c r="D5" s="343" t="s">
        <v>3802</v>
      </c>
      <c r="E5" s="343" t="s">
        <v>4131</v>
      </c>
      <c r="F5" s="343" t="s">
        <v>3804</v>
      </c>
      <c r="G5" s="343" t="s">
        <v>3805</v>
      </c>
      <c r="H5" s="385">
        <f>SUM(G6:G13)</f>
        <v>162531.50333333333</v>
      </c>
      <c r="I5" s="343" t="s">
        <v>4132</v>
      </c>
      <c r="J5" s="344"/>
      <c r="K5" s="2" t="s">
        <v>4133</v>
      </c>
      <c r="N5" s="84">
        <v>175033.92666666667</v>
      </c>
      <c r="O5" s="390">
        <f>+N5-H5</f>
        <v>12502.42333333334</v>
      </c>
    </row>
    <row r="6" spans="1:15" hidden="1" outlineLevel="1">
      <c r="A6" s="122">
        <v>1</v>
      </c>
      <c r="B6" s="345" t="s">
        <v>4134</v>
      </c>
      <c r="C6" s="122" t="s">
        <v>4135</v>
      </c>
      <c r="D6" s="346">
        <v>1</v>
      </c>
      <c r="E6" s="3">
        <v>13</v>
      </c>
      <c r="F6" s="382">
        <f>16000*$J$3</f>
        <v>59200</v>
      </c>
      <c r="G6" s="382">
        <f t="shared" ref="G6:G13" si="0">((D6*F6)/$G$14)*E6</f>
        <v>12826.666666666666</v>
      </c>
      <c r="H6" s="345"/>
      <c r="I6" s="345"/>
      <c r="J6" s="2">
        <v>4</v>
      </c>
      <c r="K6" s="120"/>
    </row>
    <row r="7" spans="1:15" hidden="1" outlineLevel="1">
      <c r="A7" s="122">
        <f>+A6+1</f>
        <v>2</v>
      </c>
      <c r="B7" s="345" t="s">
        <v>4136</v>
      </c>
      <c r="C7" s="122" t="s">
        <v>4137</v>
      </c>
      <c r="D7" s="122">
        <v>1</v>
      </c>
      <c r="E7" s="3">
        <v>13</v>
      </c>
      <c r="F7" s="382">
        <f>(4610+460)*$J$3</f>
        <v>18759</v>
      </c>
      <c r="G7" s="382">
        <f t="shared" si="0"/>
        <v>4064.45</v>
      </c>
      <c r="H7" s="345"/>
      <c r="I7" s="345"/>
      <c r="K7" s="120"/>
    </row>
    <row r="8" spans="1:15" hidden="1" outlineLevel="1">
      <c r="A8" s="122">
        <f t="shared" ref="A8:A13" si="1">+A7+1</f>
        <v>3</v>
      </c>
      <c r="B8" s="345" t="s">
        <v>4138</v>
      </c>
      <c r="C8" s="122" t="s">
        <v>4139</v>
      </c>
      <c r="D8" s="122">
        <v>2</v>
      </c>
      <c r="E8" s="3">
        <v>13</v>
      </c>
      <c r="F8" s="382">
        <f>34000*$J$3</f>
        <v>125800</v>
      </c>
      <c r="G8" s="382">
        <f t="shared" si="0"/>
        <v>54513.333333333328</v>
      </c>
      <c r="H8" s="345"/>
      <c r="I8" s="347"/>
      <c r="K8" s="120"/>
    </row>
    <row r="9" spans="1:15" hidden="1" outlineLevel="1">
      <c r="A9" s="122">
        <f t="shared" si="1"/>
        <v>4</v>
      </c>
      <c r="B9" s="345" t="s">
        <v>4140</v>
      </c>
      <c r="C9" s="122" t="s">
        <v>4141</v>
      </c>
      <c r="D9" s="122">
        <v>1</v>
      </c>
      <c r="E9" s="3">
        <v>13</v>
      </c>
      <c r="F9" s="382">
        <f>5000*$J$3</f>
        <v>18500</v>
      </c>
      <c r="G9" s="382">
        <f t="shared" si="0"/>
        <v>4008.333333333333</v>
      </c>
      <c r="H9" s="345"/>
      <c r="I9" s="345"/>
      <c r="K9" s="120"/>
    </row>
    <row r="10" spans="1:15" hidden="1" outlineLevel="1">
      <c r="A10" s="122">
        <f t="shared" si="1"/>
        <v>5</v>
      </c>
      <c r="B10" s="345" t="s">
        <v>4142</v>
      </c>
      <c r="C10" s="122" t="s">
        <v>4143</v>
      </c>
      <c r="D10" s="122">
        <v>2</v>
      </c>
      <c r="E10" s="3">
        <v>13</v>
      </c>
      <c r="F10" s="383">
        <f>8000*$J$3</f>
        <v>29600</v>
      </c>
      <c r="G10" s="382">
        <f t="shared" si="0"/>
        <v>12826.666666666666</v>
      </c>
      <c r="H10" s="345"/>
      <c r="I10" s="345"/>
      <c r="J10" s="349"/>
    </row>
    <row r="11" spans="1:15" hidden="1" outlineLevel="1">
      <c r="A11" s="122">
        <f t="shared" si="1"/>
        <v>6</v>
      </c>
      <c r="B11" s="345" t="s">
        <v>4144</v>
      </c>
      <c r="C11" s="122" t="s">
        <v>4145</v>
      </c>
      <c r="D11" s="122">
        <v>1</v>
      </c>
      <c r="E11" s="3">
        <v>13</v>
      </c>
      <c r="F11" s="384">
        <f>12300*$J$3</f>
        <v>45510</v>
      </c>
      <c r="G11" s="382">
        <f t="shared" si="0"/>
        <v>9860.5</v>
      </c>
      <c r="H11" s="345"/>
      <c r="I11" s="345"/>
    </row>
    <row r="12" spans="1:15" hidden="1" outlineLevel="1">
      <c r="A12" s="122">
        <f t="shared" si="1"/>
        <v>7</v>
      </c>
      <c r="B12" s="345" t="s">
        <v>4146</v>
      </c>
      <c r="C12" s="122" t="s">
        <v>4147</v>
      </c>
      <c r="D12" s="122">
        <v>2</v>
      </c>
      <c r="E12" s="3">
        <v>13</v>
      </c>
      <c r="F12" s="384">
        <f>12686*J3</f>
        <v>46938.200000000004</v>
      </c>
      <c r="G12" s="382">
        <f t="shared" si="0"/>
        <v>20339.886666666669</v>
      </c>
      <c r="H12" s="345"/>
      <c r="I12" s="345"/>
    </row>
    <row r="13" spans="1:15" hidden="1" outlineLevel="1">
      <c r="A13" s="122">
        <f t="shared" si="1"/>
        <v>8</v>
      </c>
      <c r="B13" s="345" t="s">
        <v>4148</v>
      </c>
      <c r="C13" s="122" t="s">
        <v>4149</v>
      </c>
      <c r="D13" s="122">
        <v>1</v>
      </c>
      <c r="E13" s="3">
        <v>13</v>
      </c>
      <c r="F13" s="384">
        <f>55000*$J$3</f>
        <v>203500</v>
      </c>
      <c r="G13" s="382">
        <f t="shared" si="0"/>
        <v>44091.666666666664</v>
      </c>
      <c r="H13" s="345"/>
      <c r="I13" s="345"/>
      <c r="L13" s="349"/>
    </row>
    <row r="14" spans="1:15" hidden="1" outlineLevel="1">
      <c r="A14" s="122"/>
      <c r="B14" s="345"/>
      <c r="C14" s="122"/>
      <c r="D14" s="122"/>
      <c r="E14" s="348"/>
      <c r="F14" s="348"/>
      <c r="G14" s="346">
        <v>60</v>
      </c>
      <c r="I14" s="351" t="s">
        <v>4150</v>
      </c>
      <c r="L14" s="349"/>
    </row>
    <row r="15" spans="1:15" collapsed="1">
      <c r="A15" s="352" t="s">
        <v>4151</v>
      </c>
      <c r="B15" s="352" t="s">
        <v>4014</v>
      </c>
      <c r="C15" s="352" t="s">
        <v>4152</v>
      </c>
      <c r="D15" s="352" t="s">
        <v>3802</v>
      </c>
      <c r="E15" s="352" t="s">
        <v>4153</v>
      </c>
      <c r="F15" s="353" t="s">
        <v>3804</v>
      </c>
      <c r="G15" s="353" t="s">
        <v>3805</v>
      </c>
      <c r="H15" s="389">
        <f>SUBTOTAL(9,G16:G28)</f>
        <v>347066</v>
      </c>
      <c r="I15" s="352"/>
    </row>
    <row r="16" spans="1:15" hidden="1" outlineLevel="1">
      <c r="A16" s="122">
        <v>1</v>
      </c>
      <c r="B16" s="345" t="s">
        <v>4154</v>
      </c>
      <c r="C16" s="122"/>
      <c r="D16" s="122">
        <v>10</v>
      </c>
      <c r="E16" s="122">
        <v>1</v>
      </c>
      <c r="F16" s="387">
        <f>120*$J$3</f>
        <v>444</v>
      </c>
      <c r="G16" s="388">
        <f>D16*E16*F16</f>
        <v>4440</v>
      </c>
      <c r="H16" s="345"/>
      <c r="I16" s="351"/>
    </row>
    <row r="17" spans="1:9" hidden="1" outlineLevel="1">
      <c r="A17" s="122">
        <f t="shared" ref="A17:A28" si="2">A16+1</f>
        <v>2</v>
      </c>
      <c r="B17" s="345" t="s">
        <v>4155</v>
      </c>
      <c r="C17" s="122" t="s">
        <v>4156</v>
      </c>
      <c r="D17" s="122">
        <v>2</v>
      </c>
      <c r="E17" s="122">
        <v>1</v>
      </c>
      <c r="F17" s="387">
        <f>1080*$J$3</f>
        <v>3996</v>
      </c>
      <c r="G17" s="388">
        <f>D17*E17*F17</f>
        <v>7992</v>
      </c>
      <c r="H17" s="345"/>
      <c r="I17" s="351"/>
    </row>
    <row r="18" spans="1:9" hidden="1" outlineLevel="1">
      <c r="A18" s="122">
        <f t="shared" si="2"/>
        <v>3</v>
      </c>
      <c r="B18" s="345" t="s">
        <v>4157</v>
      </c>
      <c r="C18" s="122"/>
      <c r="D18" s="354">
        <v>4</v>
      </c>
      <c r="E18" s="122">
        <v>1</v>
      </c>
      <c r="F18" s="388">
        <f>1130*$J$3</f>
        <v>4181</v>
      </c>
      <c r="G18" s="388">
        <f>D18*E18*F18</f>
        <v>16724</v>
      </c>
      <c r="H18" s="345"/>
      <c r="I18" s="345"/>
    </row>
    <row r="19" spans="1:9" hidden="1" outlineLevel="1">
      <c r="A19" s="122">
        <f t="shared" si="2"/>
        <v>4</v>
      </c>
      <c r="B19" s="345" t="s">
        <v>4158</v>
      </c>
      <c r="C19" s="122" t="s">
        <v>4159</v>
      </c>
      <c r="D19" s="122">
        <v>20</v>
      </c>
      <c r="E19" s="122">
        <v>1</v>
      </c>
      <c r="F19" s="388">
        <f>150*$J$3</f>
        <v>555</v>
      </c>
      <c r="G19" s="388">
        <f t="shared" ref="G19:G21" si="3">D19*E19*F19</f>
        <v>11100</v>
      </c>
      <c r="H19" s="345"/>
      <c r="I19" s="347"/>
    </row>
    <row r="20" spans="1:9" hidden="1" outlineLevel="1">
      <c r="A20" s="122">
        <f t="shared" si="2"/>
        <v>5</v>
      </c>
      <c r="B20" s="345" t="s">
        <v>4160</v>
      </c>
      <c r="C20" s="122" t="s">
        <v>4161</v>
      </c>
      <c r="D20" s="122">
        <v>2</v>
      </c>
      <c r="E20" s="122">
        <v>1</v>
      </c>
      <c r="F20" s="388">
        <f>2900*J3</f>
        <v>10730</v>
      </c>
      <c r="G20" s="388">
        <f t="shared" si="3"/>
        <v>21460</v>
      </c>
      <c r="H20" s="345"/>
      <c r="I20" s="345"/>
    </row>
    <row r="21" spans="1:9" hidden="1" outlineLevel="1">
      <c r="A21" s="122">
        <f t="shared" si="2"/>
        <v>6</v>
      </c>
      <c r="B21" s="345" t="s">
        <v>4162</v>
      </c>
      <c r="C21" s="122" t="s">
        <v>4163</v>
      </c>
      <c r="D21" s="122">
        <v>1</v>
      </c>
      <c r="E21" s="122">
        <v>1</v>
      </c>
      <c r="F21" s="388">
        <f>4000*$J$3</f>
        <v>14800</v>
      </c>
      <c r="G21" s="388">
        <f t="shared" si="3"/>
        <v>14800</v>
      </c>
      <c r="H21" s="345"/>
      <c r="I21" s="345"/>
    </row>
    <row r="22" spans="1:9" hidden="1" outlineLevel="1">
      <c r="A22" s="122">
        <f t="shared" si="2"/>
        <v>7</v>
      </c>
      <c r="B22" s="345" t="s">
        <v>4164</v>
      </c>
      <c r="C22" s="122"/>
      <c r="D22" s="354">
        <v>1</v>
      </c>
      <c r="E22" s="122">
        <v>1</v>
      </c>
      <c r="F22" s="388">
        <f>1000*$J$3</f>
        <v>3700</v>
      </c>
      <c r="G22" s="388">
        <f t="shared" ref="G22:G28" si="4">D22*E22*F22</f>
        <v>3700</v>
      </c>
      <c r="H22" s="345"/>
      <c r="I22" s="345"/>
    </row>
    <row r="23" spans="1:9" hidden="1" outlineLevel="1">
      <c r="A23" s="122">
        <f t="shared" si="2"/>
        <v>8</v>
      </c>
      <c r="B23" s="355" t="s">
        <v>4165</v>
      </c>
      <c r="C23" s="356" t="s">
        <v>4166</v>
      </c>
      <c r="D23" s="356">
        <v>1</v>
      </c>
      <c r="E23" s="356">
        <v>1</v>
      </c>
      <c r="F23" s="388">
        <f>3100*$J$3</f>
        <v>11470</v>
      </c>
      <c r="G23" s="388">
        <f t="shared" si="4"/>
        <v>11470</v>
      </c>
      <c r="H23" s="345"/>
      <c r="I23" s="345"/>
    </row>
    <row r="24" spans="1:9" hidden="1" outlineLevel="1">
      <c r="A24" s="122">
        <f t="shared" si="2"/>
        <v>9</v>
      </c>
      <c r="B24" s="355" t="s">
        <v>4167</v>
      </c>
      <c r="C24" s="356" t="s">
        <v>4168</v>
      </c>
      <c r="D24" s="356">
        <v>1</v>
      </c>
      <c r="E24" s="356">
        <v>14</v>
      </c>
      <c r="F24" s="388">
        <f>100*$J$3</f>
        <v>370</v>
      </c>
      <c r="G24" s="388">
        <f t="shared" si="4"/>
        <v>5180</v>
      </c>
      <c r="H24" s="345"/>
      <c r="I24" s="345"/>
    </row>
    <row r="25" spans="1:9" hidden="1" outlineLevel="1">
      <c r="A25" s="122">
        <f t="shared" si="2"/>
        <v>10</v>
      </c>
      <c r="B25" s="355" t="s">
        <v>4169</v>
      </c>
      <c r="C25" s="356"/>
      <c r="D25" s="356">
        <v>1</v>
      </c>
      <c r="E25" s="356">
        <v>1</v>
      </c>
      <c r="F25" s="388">
        <f>4000*$J$3</f>
        <v>14800</v>
      </c>
      <c r="G25" s="388">
        <f t="shared" si="4"/>
        <v>14800</v>
      </c>
      <c r="H25" s="345"/>
      <c r="I25" s="345"/>
    </row>
    <row r="26" spans="1:9" hidden="1" outlineLevel="1">
      <c r="A26" s="122">
        <f t="shared" si="2"/>
        <v>11</v>
      </c>
      <c r="B26" s="355" t="s">
        <v>4170</v>
      </c>
      <c r="C26" s="356" t="s">
        <v>4171</v>
      </c>
      <c r="D26" s="356">
        <v>12500</v>
      </c>
      <c r="E26" s="356">
        <v>10</v>
      </c>
      <c r="F26" s="388">
        <f>0.4*$J$3</f>
        <v>1.4800000000000002</v>
      </c>
      <c r="G26" s="388">
        <f t="shared" si="4"/>
        <v>185000.00000000003</v>
      </c>
      <c r="H26" s="345"/>
      <c r="I26" s="345"/>
    </row>
    <row r="27" spans="1:9" hidden="1" outlineLevel="1">
      <c r="A27" s="122">
        <f t="shared" si="2"/>
        <v>12</v>
      </c>
      <c r="B27" s="355" t="s">
        <v>4172</v>
      </c>
      <c r="C27" s="356" t="s">
        <v>4120</v>
      </c>
      <c r="D27" s="356">
        <f>((100+140)*6)</f>
        <v>1440</v>
      </c>
      <c r="E27" s="356">
        <v>1</v>
      </c>
      <c r="F27" s="388">
        <v>35</v>
      </c>
      <c r="G27" s="388">
        <f t="shared" si="4"/>
        <v>50400</v>
      </c>
      <c r="H27" s="345"/>
      <c r="I27" s="345"/>
    </row>
    <row r="28" spans="1:9" hidden="1" outlineLevel="1">
      <c r="A28" s="122">
        <f t="shared" si="2"/>
        <v>13</v>
      </c>
      <c r="B28" s="355"/>
      <c r="C28" s="356"/>
      <c r="D28" s="356"/>
      <c r="E28" s="356"/>
      <c r="F28" s="357"/>
      <c r="G28" s="350">
        <f t="shared" si="4"/>
        <v>0</v>
      </c>
      <c r="H28" s="345"/>
      <c r="I28" s="345"/>
    </row>
    <row r="29" spans="1:9" collapsed="1">
      <c r="A29" s="78" t="s">
        <v>3800</v>
      </c>
      <c r="B29" s="78" t="s">
        <v>4173</v>
      </c>
      <c r="C29" s="78" t="s">
        <v>4152</v>
      </c>
      <c r="D29" s="78" t="s">
        <v>3802</v>
      </c>
      <c r="E29" s="78" t="s">
        <v>4153</v>
      </c>
      <c r="F29" s="358" t="s">
        <v>3804</v>
      </c>
      <c r="G29" s="358" t="s">
        <v>3805</v>
      </c>
      <c r="H29" s="391">
        <f>SUBTOTAL(9,G30:G38)</f>
        <v>36563.4</v>
      </c>
      <c r="I29" s="78"/>
    </row>
    <row r="30" spans="1:9" hidden="1" outlineLevel="1">
      <c r="A30" s="122">
        <v>1</v>
      </c>
      <c r="B30" s="345" t="s">
        <v>4174</v>
      </c>
      <c r="C30" s="122"/>
      <c r="D30" s="122">
        <v>1</v>
      </c>
      <c r="E30" s="122">
        <v>1</v>
      </c>
      <c r="F30" s="388">
        <f>1000*$J$3</f>
        <v>3700</v>
      </c>
      <c r="G30" s="388">
        <f t="shared" ref="G30:G38" si="5">D30*E30*F30</f>
        <v>3700</v>
      </c>
      <c r="H30" s="345"/>
      <c r="I30" s="345"/>
    </row>
    <row r="31" spans="1:9" hidden="1" outlineLevel="1">
      <c r="A31" s="122">
        <v>2</v>
      </c>
      <c r="B31" s="345" t="s">
        <v>4175</v>
      </c>
      <c r="C31" s="122" t="s">
        <v>4176</v>
      </c>
      <c r="D31" s="122">
        <v>1</v>
      </c>
      <c r="E31" s="122">
        <v>1</v>
      </c>
      <c r="F31" s="388">
        <f>300*$J$3</f>
        <v>1110</v>
      </c>
      <c r="G31" s="388">
        <f t="shared" si="5"/>
        <v>1110</v>
      </c>
      <c r="H31" s="345"/>
      <c r="I31" s="345"/>
    </row>
    <row r="32" spans="1:9" hidden="1" outlineLevel="1">
      <c r="A32" s="122">
        <f t="shared" ref="A32:A33" si="6">A31+1</f>
        <v>3</v>
      </c>
      <c r="B32" s="345" t="s">
        <v>4177</v>
      </c>
      <c r="C32" s="122" t="s">
        <v>4178</v>
      </c>
      <c r="D32" s="122">
        <v>1</v>
      </c>
      <c r="E32" s="122">
        <v>1</v>
      </c>
      <c r="F32" s="388">
        <f>220*J3</f>
        <v>814</v>
      </c>
      <c r="G32" s="388">
        <f>D32*E32*F32</f>
        <v>814</v>
      </c>
      <c r="H32" s="345"/>
      <c r="I32" s="345"/>
    </row>
    <row r="33" spans="1:12" hidden="1" outlineLevel="1">
      <c r="A33" s="122">
        <f t="shared" si="6"/>
        <v>4</v>
      </c>
      <c r="B33" s="345" t="s">
        <v>4179</v>
      </c>
      <c r="C33" s="122"/>
      <c r="D33" s="122">
        <v>10</v>
      </c>
      <c r="E33" s="122">
        <v>1</v>
      </c>
      <c r="F33" s="388">
        <f>240*$J$3</f>
        <v>888</v>
      </c>
      <c r="G33" s="388">
        <f>D33*E33*F33</f>
        <v>8880</v>
      </c>
      <c r="H33" s="345"/>
      <c r="I33" s="345"/>
    </row>
    <row r="34" spans="1:12" hidden="1" outlineLevel="1">
      <c r="A34" s="122">
        <v>5</v>
      </c>
      <c r="B34" s="345" t="s">
        <v>4180</v>
      </c>
      <c r="C34" s="122"/>
      <c r="D34" s="122">
        <v>1</v>
      </c>
      <c r="E34" s="122">
        <v>1</v>
      </c>
      <c r="F34" s="388">
        <f>+(730+60)*$J$3</f>
        <v>2923</v>
      </c>
      <c r="G34" s="388">
        <f t="shared" si="5"/>
        <v>2923</v>
      </c>
      <c r="H34" s="345"/>
      <c r="I34" s="345"/>
    </row>
    <row r="35" spans="1:12" hidden="1" outlineLevel="1">
      <c r="A35" s="122">
        <v>6</v>
      </c>
      <c r="B35" s="345" t="s">
        <v>4181</v>
      </c>
      <c r="C35" s="122"/>
      <c r="D35" s="359">
        <v>12</v>
      </c>
      <c r="E35" s="122">
        <v>1</v>
      </c>
      <c r="F35" s="388">
        <f>140*$J$3</f>
        <v>518</v>
      </c>
      <c r="G35" s="388">
        <f t="shared" si="5"/>
        <v>6216</v>
      </c>
      <c r="H35" s="345"/>
      <c r="I35" s="345"/>
      <c r="K35" s="349"/>
    </row>
    <row r="36" spans="1:12" hidden="1" outlineLevel="1">
      <c r="A36" s="122">
        <v>7</v>
      </c>
      <c r="B36" s="345" t="s">
        <v>4182</v>
      </c>
      <c r="C36" s="122"/>
      <c r="D36" s="122">
        <v>1</v>
      </c>
      <c r="E36" s="122">
        <v>1</v>
      </c>
      <c r="F36" s="388">
        <f>780*$J$3</f>
        <v>2886</v>
      </c>
      <c r="G36" s="388">
        <f>D36*E36*F36</f>
        <v>2886</v>
      </c>
      <c r="H36" s="345"/>
      <c r="I36" s="345"/>
      <c r="K36" s="349"/>
    </row>
    <row r="37" spans="1:12" hidden="1" outlineLevel="1">
      <c r="A37" s="122">
        <v>8</v>
      </c>
      <c r="B37" s="345" t="s">
        <v>4183</v>
      </c>
      <c r="C37" s="122"/>
      <c r="D37" s="122">
        <f>D35+D36*6</f>
        <v>18</v>
      </c>
      <c r="E37" s="122">
        <v>1</v>
      </c>
      <c r="F37" s="388">
        <f>90*$J$3</f>
        <v>333</v>
      </c>
      <c r="G37" s="388">
        <f>D37*E37*F37</f>
        <v>5994</v>
      </c>
      <c r="H37" s="345"/>
      <c r="I37" s="345"/>
      <c r="K37" s="349"/>
    </row>
    <row r="38" spans="1:12" hidden="1" outlineLevel="1">
      <c r="A38" s="122">
        <v>9</v>
      </c>
      <c r="B38" s="345" t="s">
        <v>4184</v>
      </c>
      <c r="C38" s="122"/>
      <c r="D38" s="122">
        <v>6</v>
      </c>
      <c r="E38" s="122">
        <v>1</v>
      </c>
      <c r="F38" s="388">
        <f>182*$J$3</f>
        <v>673.4</v>
      </c>
      <c r="G38" s="388">
        <f t="shared" si="5"/>
        <v>4040.3999999999996</v>
      </c>
      <c r="H38" s="345"/>
      <c r="I38" s="345"/>
      <c r="K38" s="349"/>
    </row>
    <row r="39" spans="1:12" collapsed="1">
      <c r="A39" s="78" t="s">
        <v>4185</v>
      </c>
      <c r="B39" s="78" t="s">
        <v>4186</v>
      </c>
      <c r="C39" s="78" t="s">
        <v>4152</v>
      </c>
      <c r="D39" s="78" t="s">
        <v>3802</v>
      </c>
      <c r="E39" s="78" t="s">
        <v>3975</v>
      </c>
      <c r="F39" s="358" t="s">
        <v>3804</v>
      </c>
      <c r="G39" s="358" t="s">
        <v>3805</v>
      </c>
      <c r="H39" s="391">
        <f>SUBTOTAL(9,G40:G51)</f>
        <v>77256</v>
      </c>
      <c r="I39" s="78"/>
      <c r="K39" s="537" t="s">
        <v>4128</v>
      </c>
      <c r="L39" s="537"/>
    </row>
    <row r="40" spans="1:12" hidden="1" outlineLevel="1">
      <c r="A40" s="122">
        <v>1</v>
      </c>
      <c r="B40" s="345" t="s">
        <v>4187</v>
      </c>
      <c r="C40" s="360" t="s">
        <v>4188</v>
      </c>
      <c r="D40" s="354">
        <v>150</v>
      </c>
      <c r="E40" s="122" t="s">
        <v>3989</v>
      </c>
      <c r="F40" s="388">
        <f>21*$J$3</f>
        <v>77.7</v>
      </c>
      <c r="G40" s="388">
        <f>D40*F40</f>
        <v>11655</v>
      </c>
      <c r="H40" s="345"/>
      <c r="I40" s="345"/>
      <c r="K40" s="3" t="s">
        <v>4189</v>
      </c>
      <c r="L40" s="3" t="s">
        <v>4190</v>
      </c>
    </row>
    <row r="41" spans="1:12" hidden="1" outlineLevel="1">
      <c r="A41" s="122">
        <f>+A40+1</f>
        <v>2</v>
      </c>
      <c r="B41" s="345" t="s">
        <v>4191</v>
      </c>
      <c r="C41" s="360" t="s">
        <v>4188</v>
      </c>
      <c r="D41" s="354">
        <v>150</v>
      </c>
      <c r="E41" s="122" t="s">
        <v>3989</v>
      </c>
      <c r="F41" s="388">
        <f>9*$J$3</f>
        <v>33.300000000000004</v>
      </c>
      <c r="G41" s="388">
        <f>D41*F41</f>
        <v>4995.0000000000009</v>
      </c>
      <c r="H41" s="345"/>
      <c r="I41" s="345"/>
      <c r="K41" s="3"/>
      <c r="L41" s="3"/>
    </row>
    <row r="42" spans="1:12" hidden="1" outlineLevel="1">
      <c r="A42" s="122">
        <f t="shared" ref="A42:A51" si="7">+A41+1</f>
        <v>3</v>
      </c>
      <c r="B42" s="345" t="s">
        <v>4192</v>
      </c>
      <c r="C42" s="360" t="s">
        <v>4188</v>
      </c>
      <c r="D42" s="354">
        <v>150</v>
      </c>
      <c r="E42" s="122" t="s">
        <v>3989</v>
      </c>
      <c r="F42" s="388">
        <f>7*$J$3</f>
        <v>25.900000000000002</v>
      </c>
      <c r="G42" s="388">
        <f>D42*F42</f>
        <v>3885.0000000000005</v>
      </c>
      <c r="H42" s="345"/>
      <c r="I42" s="345"/>
      <c r="K42" s="3"/>
      <c r="L42" s="3"/>
    </row>
    <row r="43" spans="1:12" hidden="1" outlineLevel="1">
      <c r="A43" s="122">
        <f t="shared" si="7"/>
        <v>4</v>
      </c>
      <c r="B43" s="345" t="s">
        <v>4193</v>
      </c>
      <c r="C43" s="360" t="s">
        <v>4188</v>
      </c>
      <c r="D43" s="354">
        <v>100</v>
      </c>
      <c r="E43" s="122" t="s">
        <v>3989</v>
      </c>
      <c r="F43" s="388">
        <f>22*$J$3</f>
        <v>81.400000000000006</v>
      </c>
      <c r="G43" s="388">
        <f t="shared" ref="G43:G44" si="8">D43*F43</f>
        <v>8140.0000000000009</v>
      </c>
      <c r="H43" s="345"/>
      <c r="I43" s="345"/>
      <c r="K43" s="3"/>
      <c r="L43" s="3"/>
    </row>
    <row r="44" spans="1:12" hidden="1" outlineLevel="1">
      <c r="A44" s="122">
        <f t="shared" si="7"/>
        <v>5</v>
      </c>
      <c r="B44" s="345" t="s">
        <v>4194</v>
      </c>
      <c r="C44" s="360"/>
      <c r="D44" s="354">
        <v>80</v>
      </c>
      <c r="E44" s="122" t="s">
        <v>3989</v>
      </c>
      <c r="F44" s="388">
        <f>19*$J$3</f>
        <v>70.3</v>
      </c>
      <c r="G44" s="388">
        <f t="shared" si="8"/>
        <v>5624</v>
      </c>
      <c r="H44" s="345"/>
      <c r="I44" s="345"/>
      <c r="K44" s="3"/>
      <c r="L44" s="3"/>
    </row>
    <row r="45" spans="1:12" hidden="1" outlineLevel="1">
      <c r="A45" s="122">
        <f t="shared" si="7"/>
        <v>6</v>
      </c>
      <c r="B45" s="345" t="s">
        <v>4195</v>
      </c>
      <c r="C45" s="360" t="s">
        <v>4196</v>
      </c>
      <c r="D45" s="354">
        <v>5</v>
      </c>
      <c r="E45" s="122" t="s">
        <v>3989</v>
      </c>
      <c r="F45" s="388">
        <f>580*$J$3</f>
        <v>2146</v>
      </c>
      <c r="G45" s="388">
        <f>D45*F45</f>
        <v>10730</v>
      </c>
      <c r="H45" s="345"/>
      <c r="I45" s="345"/>
      <c r="K45" s="3"/>
      <c r="L45" s="3"/>
    </row>
    <row r="46" spans="1:12" hidden="1" outlineLevel="1">
      <c r="A46" s="122">
        <f t="shared" si="7"/>
        <v>7</v>
      </c>
      <c r="B46" s="345" t="s">
        <v>4197</v>
      </c>
      <c r="C46" s="361" t="s">
        <v>4198</v>
      </c>
      <c r="D46" s="362">
        <v>250</v>
      </c>
      <c r="E46" s="122" t="s">
        <v>3989</v>
      </c>
      <c r="F46" s="388">
        <f>7*$J$3</f>
        <v>25.900000000000002</v>
      </c>
      <c r="G46" s="388">
        <f>D46*F46</f>
        <v>6475.0000000000009</v>
      </c>
      <c r="H46" s="345"/>
      <c r="I46" s="363"/>
    </row>
    <row r="47" spans="1:12" hidden="1" outlineLevel="1">
      <c r="A47" s="122">
        <f t="shared" si="7"/>
        <v>8</v>
      </c>
      <c r="B47" s="345" t="s">
        <v>4199</v>
      </c>
      <c r="C47" s="122"/>
      <c r="D47" s="122">
        <v>1</v>
      </c>
      <c r="E47" s="122" t="s">
        <v>1923</v>
      </c>
      <c r="F47" s="388">
        <f>2500*$J$3</f>
        <v>9250</v>
      </c>
      <c r="G47" s="388">
        <f t="shared" ref="G47:G50" si="9">D47*F47</f>
        <v>9250</v>
      </c>
      <c r="H47" s="345"/>
      <c r="I47" s="345"/>
    </row>
    <row r="48" spans="1:12" hidden="1" outlineLevel="1">
      <c r="A48" s="122">
        <f t="shared" si="7"/>
        <v>9</v>
      </c>
      <c r="B48" s="345" t="s">
        <v>4200</v>
      </c>
      <c r="C48" s="122"/>
      <c r="D48" s="122">
        <v>1</v>
      </c>
      <c r="E48" s="122" t="s">
        <v>1923</v>
      </c>
      <c r="F48" s="388">
        <f>1500*$J$3</f>
        <v>5550</v>
      </c>
      <c r="G48" s="388">
        <f t="shared" si="9"/>
        <v>5550</v>
      </c>
      <c r="H48" s="345"/>
      <c r="I48" s="345"/>
    </row>
    <row r="49" spans="1:9" hidden="1" outlineLevel="1">
      <c r="A49" s="122">
        <f t="shared" si="7"/>
        <v>10</v>
      </c>
      <c r="B49" s="345" t="s">
        <v>4201</v>
      </c>
      <c r="C49" s="122"/>
      <c r="D49" s="122">
        <v>1</v>
      </c>
      <c r="E49" s="122" t="s">
        <v>1923</v>
      </c>
      <c r="F49" s="388">
        <f>1000*$J$3</f>
        <v>3700</v>
      </c>
      <c r="G49" s="388">
        <f t="shared" si="9"/>
        <v>3700</v>
      </c>
      <c r="H49" s="345"/>
      <c r="I49" s="345"/>
    </row>
    <row r="50" spans="1:9" hidden="1" outlineLevel="1">
      <c r="A50" s="122">
        <f t="shared" si="7"/>
        <v>11</v>
      </c>
      <c r="B50" s="345" t="s">
        <v>4202</v>
      </c>
      <c r="C50" s="122"/>
      <c r="D50" s="122">
        <v>1</v>
      </c>
      <c r="E50" s="122" t="s">
        <v>1923</v>
      </c>
      <c r="F50" s="388">
        <f>1000*$J$3</f>
        <v>3700</v>
      </c>
      <c r="G50" s="388">
        <f t="shared" si="9"/>
        <v>3700</v>
      </c>
      <c r="H50" s="345"/>
      <c r="I50" s="345"/>
    </row>
    <row r="51" spans="1:9" hidden="1" outlineLevel="1">
      <c r="A51" s="122">
        <f t="shared" si="7"/>
        <v>12</v>
      </c>
      <c r="B51" s="345" t="s">
        <v>4203</v>
      </c>
      <c r="C51" s="122" t="s">
        <v>4204</v>
      </c>
      <c r="D51" s="122">
        <v>80</v>
      </c>
      <c r="E51" s="122" t="s">
        <v>43</v>
      </c>
      <c r="F51" s="388">
        <f>12*$J$3</f>
        <v>44.400000000000006</v>
      </c>
      <c r="G51" s="388">
        <f t="shared" ref="G51" si="10">D51*F51</f>
        <v>3552.0000000000005</v>
      </c>
      <c r="H51" s="345"/>
      <c r="I51" s="347"/>
    </row>
    <row r="52" spans="1:9" collapsed="1">
      <c r="A52" s="343" t="s">
        <v>4205</v>
      </c>
      <c r="B52" s="364" t="s">
        <v>4206</v>
      </c>
      <c r="C52" s="343" t="s">
        <v>4152</v>
      </c>
      <c r="D52" s="343" t="s">
        <v>3802</v>
      </c>
      <c r="E52" s="343" t="s">
        <v>4153</v>
      </c>
      <c r="F52" s="365" t="s">
        <v>3804</v>
      </c>
      <c r="G52" s="365" t="s">
        <v>3805</v>
      </c>
      <c r="H52" s="392">
        <f>SUM(G53:G55)</f>
        <v>173463</v>
      </c>
      <c r="I52" s="343"/>
    </row>
    <row r="53" spans="1:9" hidden="1" outlineLevel="1">
      <c r="A53" s="122">
        <v>1</v>
      </c>
      <c r="B53" s="345" t="s">
        <v>4207</v>
      </c>
      <c r="C53" s="122"/>
      <c r="D53" s="122">
        <v>15</v>
      </c>
      <c r="E53" s="366">
        <v>1</v>
      </c>
      <c r="F53" s="388">
        <f>250*$J$3</f>
        <v>925</v>
      </c>
      <c r="G53" s="388">
        <f t="shared" ref="G53:G55" si="11">D53*E53*F53</f>
        <v>13875</v>
      </c>
      <c r="H53" s="345"/>
      <c r="I53" s="345"/>
    </row>
    <row r="54" spans="1:9" hidden="1" outlineLevel="1">
      <c r="A54" s="122">
        <v>2</v>
      </c>
      <c r="B54" s="345" t="s">
        <v>4208</v>
      </c>
      <c r="C54" s="122" t="s">
        <v>4209</v>
      </c>
      <c r="D54" s="354">
        <v>60</v>
      </c>
      <c r="E54" s="366">
        <v>10</v>
      </c>
      <c r="F54" s="388">
        <f>1.5*0.9*26</f>
        <v>35.1</v>
      </c>
      <c r="G54" s="388">
        <f t="shared" si="11"/>
        <v>21060</v>
      </c>
      <c r="H54" s="345"/>
      <c r="I54" s="345"/>
    </row>
    <row r="55" spans="1:9" hidden="1" outlineLevel="1">
      <c r="A55" s="338">
        <v>3</v>
      </c>
      <c r="B55" s="367" t="s">
        <v>4210</v>
      </c>
      <c r="C55" s="338" t="s">
        <v>4211</v>
      </c>
      <c r="D55" s="338">
        <f>240*6</f>
        <v>1440</v>
      </c>
      <c r="E55" s="338">
        <v>4</v>
      </c>
      <c r="F55" s="394">
        <f>6.5*$J$3</f>
        <v>24.05</v>
      </c>
      <c r="G55" s="394">
        <f t="shared" si="11"/>
        <v>138528</v>
      </c>
      <c r="H55" s="368"/>
      <c r="I55" s="368"/>
    </row>
    <row r="56" spans="1:9" ht="15.75" thickBot="1"/>
    <row r="57" spans="1:9" ht="15.75" thickBot="1">
      <c r="A57" s="3"/>
      <c r="C57" s="538" t="s">
        <v>4212</v>
      </c>
      <c r="D57" s="539"/>
      <c r="E57" s="539"/>
      <c r="F57" s="539"/>
      <c r="G57" s="539"/>
      <c r="H57" s="393">
        <f>SUM(H5:H56)</f>
        <v>796879.90333333332</v>
      </c>
    </row>
    <row r="58" spans="1:9" ht="15.75" thickBot="1">
      <c r="C58" s="538" t="s">
        <v>4213</v>
      </c>
      <c r="D58" s="539"/>
      <c r="E58" s="539"/>
      <c r="F58" s="539"/>
      <c r="G58" s="539"/>
      <c r="H58" s="393">
        <f>+H57/D26</f>
        <v>63.750392266666665</v>
      </c>
    </row>
  </sheetData>
  <mergeCells count="3">
    <mergeCell ref="K39:L39"/>
    <mergeCell ref="C57:G57"/>
    <mergeCell ref="C58:G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26"/>
  <sheetViews>
    <sheetView showGridLines="0" zoomScale="85" zoomScaleNormal="85" workbookViewId="0">
      <selection activeCell="J58" sqref="J58:T61"/>
    </sheetView>
  </sheetViews>
  <sheetFormatPr baseColWidth="10" defaultColWidth="11.42578125" defaultRowHeight="15"/>
  <cols>
    <col min="1" max="1" width="1.85546875" style="2" customWidth="1"/>
    <col min="2" max="2" width="5.42578125" style="2" bestFit="1" customWidth="1"/>
    <col min="3" max="3" width="39.85546875" style="2" customWidth="1"/>
    <col min="4" max="4" width="6.140625" style="2" bestFit="1" customWidth="1"/>
    <col min="5" max="5" width="20.140625" style="2" bestFit="1" customWidth="1"/>
    <col min="6" max="6" width="8" style="2" bestFit="1" customWidth="1"/>
    <col min="7" max="7" width="14.5703125" style="2" customWidth="1"/>
    <col min="8" max="8" width="14.85546875" style="2" bestFit="1" customWidth="1"/>
    <col min="9" max="9" width="17.85546875" style="2" customWidth="1"/>
    <col min="10" max="10" width="11.42578125" style="2"/>
    <col min="11" max="11" width="15.140625" style="2" customWidth="1"/>
    <col min="12" max="12" width="12.42578125" style="2" bestFit="1" customWidth="1"/>
    <col min="13" max="16384" width="11.42578125" style="2"/>
  </cols>
  <sheetData>
    <row r="1" spans="2:10">
      <c r="B1" s="88" t="str">
        <f>[1]RESUMEN!A1</f>
        <v>CONDUTO PERU</v>
      </c>
      <c r="C1" s="32"/>
      <c r="D1" s="32"/>
      <c r="E1" s="32"/>
      <c r="F1" s="32"/>
      <c r="G1" s="32"/>
      <c r="H1" s="32"/>
      <c r="I1" s="32"/>
    </row>
    <row r="2" spans="2:10">
      <c r="B2" s="88" t="str">
        <f>[1]RESUMEN!A2</f>
        <v>AGUA POTABLE CUSCO</v>
      </c>
      <c r="C2" s="32"/>
      <c r="D2" s="32"/>
      <c r="E2" s="32"/>
      <c r="F2" s="32"/>
      <c r="G2" s="32"/>
      <c r="H2" s="32"/>
      <c r="I2" s="32"/>
    </row>
    <row r="3" spans="2:10">
      <c r="B3" s="88" t="s">
        <v>4214</v>
      </c>
      <c r="C3" s="32"/>
      <c r="D3" s="32"/>
      <c r="E3" s="32"/>
      <c r="F3" s="32"/>
      <c r="G3" s="32"/>
      <c r="H3" s="32"/>
      <c r="I3" s="56" t="s">
        <v>4129</v>
      </c>
      <c r="J3" s="400">
        <v>3.7</v>
      </c>
    </row>
    <row r="4" spans="2:10">
      <c r="B4" s="339" t="str">
        <f>[1]RESUMEN!A4</f>
        <v>Rev 1</v>
      </c>
      <c r="H4" s="341" t="s">
        <v>3798</v>
      </c>
      <c r="I4" s="342">
        <v>45397</v>
      </c>
    </row>
    <row r="5" spans="2:10">
      <c r="B5" s="58" t="s">
        <v>4215</v>
      </c>
      <c r="C5" s="59"/>
      <c r="D5" s="59"/>
      <c r="E5" s="59"/>
      <c r="F5" s="59"/>
      <c r="G5" s="59"/>
      <c r="H5" s="59"/>
      <c r="I5" s="369"/>
    </row>
    <row r="6" spans="2:10" ht="30">
      <c r="B6" s="343" t="s">
        <v>5</v>
      </c>
      <c r="C6" s="343" t="s">
        <v>3959</v>
      </c>
      <c r="D6" s="343"/>
      <c r="E6" s="399" t="s">
        <v>4216</v>
      </c>
      <c r="F6" s="343" t="s">
        <v>3975</v>
      </c>
      <c r="G6" s="343" t="s">
        <v>3804</v>
      </c>
      <c r="H6" s="343" t="s">
        <v>3805</v>
      </c>
      <c r="I6" s="392">
        <f>SUM(H7:H10)</f>
        <v>74203.5</v>
      </c>
      <c r="J6" s="371">
        <f>1+J3</f>
        <v>4.7</v>
      </c>
    </row>
    <row r="7" spans="2:10">
      <c r="B7" s="122">
        <v>1</v>
      </c>
      <c r="C7" s="363" t="s">
        <v>4217</v>
      </c>
      <c r="D7" s="356" t="s">
        <v>4218</v>
      </c>
      <c r="E7" s="356">
        <v>4</v>
      </c>
      <c r="F7" s="356" t="s">
        <v>4219</v>
      </c>
      <c r="G7" s="395">
        <f>2000*$J$3</f>
        <v>7400</v>
      </c>
      <c r="H7" s="396">
        <f>E7*G7</f>
        <v>29600</v>
      </c>
      <c r="I7" s="345"/>
    </row>
    <row r="8" spans="2:10">
      <c r="B8" s="122">
        <v>2</v>
      </c>
      <c r="C8" s="363" t="s">
        <v>4220</v>
      </c>
      <c r="D8" s="356"/>
      <c r="E8" s="356">
        <v>3</v>
      </c>
      <c r="F8" s="356" t="s">
        <v>4219</v>
      </c>
      <c r="G8" s="395">
        <f>500*$J$3</f>
        <v>1850</v>
      </c>
      <c r="H8" s="396">
        <f>E8*G8</f>
        <v>5550</v>
      </c>
      <c r="I8" s="345"/>
    </row>
    <row r="9" spans="2:10">
      <c r="B9" s="372">
        <v>3</v>
      </c>
      <c r="C9" s="373" t="s">
        <v>4221</v>
      </c>
      <c r="D9" s="374"/>
      <c r="E9" s="374">
        <f>E7</f>
        <v>4</v>
      </c>
      <c r="F9" s="374" t="s">
        <v>4219</v>
      </c>
      <c r="G9" s="397">
        <f>2200*$J$3</f>
        <v>8140</v>
      </c>
      <c r="H9" s="397">
        <f>E9*G9</f>
        <v>32560</v>
      </c>
      <c r="I9" s="376"/>
    </row>
    <row r="10" spans="2:10">
      <c r="B10" s="372">
        <v>4</v>
      </c>
      <c r="C10" s="373" t="s">
        <v>4222</v>
      </c>
      <c r="D10" s="374"/>
      <c r="E10" s="374">
        <v>3</v>
      </c>
      <c r="F10" s="374" t="s">
        <v>4219</v>
      </c>
      <c r="G10" s="397">
        <f>585*$J$3</f>
        <v>2164.5</v>
      </c>
      <c r="H10" s="397">
        <f>E10*G10</f>
        <v>6493.5</v>
      </c>
      <c r="I10" s="376"/>
    </row>
    <row r="11" spans="2:10">
      <c r="B11" s="377"/>
      <c r="C11" s="378"/>
      <c r="D11" s="378"/>
      <c r="E11" s="378"/>
      <c r="F11" s="377"/>
      <c r="G11" s="378"/>
      <c r="H11" s="378"/>
      <c r="I11" s="378"/>
    </row>
    <row r="12" spans="2:10">
      <c r="B12" s="3"/>
      <c r="F12" s="540" t="s">
        <v>26</v>
      </c>
      <c r="G12" s="541"/>
      <c r="H12" s="541"/>
      <c r="I12" s="398">
        <f>(I6)</f>
        <v>74203.5</v>
      </c>
    </row>
    <row r="13" spans="2:10">
      <c r="B13" s="379"/>
      <c r="C13" s="380"/>
      <c r="D13" s="380"/>
      <c r="E13" s="380"/>
      <c r="F13" s="377"/>
      <c r="G13" s="378"/>
      <c r="H13" s="378"/>
      <c r="I13" s="380"/>
    </row>
    <row r="14" spans="2:10">
      <c r="B14" s="379"/>
      <c r="C14" s="380"/>
      <c r="D14" s="380"/>
      <c r="E14" s="380"/>
      <c r="F14" s="377"/>
      <c r="G14" s="378"/>
      <c r="H14" s="378"/>
      <c r="I14" s="380"/>
    </row>
    <row r="15" spans="2:10">
      <c r="B15" s="58" t="s">
        <v>4223</v>
      </c>
      <c r="C15" s="59"/>
      <c r="D15" s="59"/>
      <c r="E15" s="59"/>
      <c r="F15" s="59"/>
      <c r="G15" s="59"/>
      <c r="H15" s="59"/>
      <c r="I15" s="369"/>
      <c r="J15" s="370"/>
    </row>
    <row r="16" spans="2:10">
      <c r="B16" s="343" t="s">
        <v>5</v>
      </c>
      <c r="C16" s="343" t="s">
        <v>4224</v>
      </c>
      <c r="D16" s="343"/>
      <c r="E16" s="343" t="s">
        <v>3802</v>
      </c>
      <c r="F16" s="343" t="s">
        <v>3975</v>
      </c>
      <c r="G16" s="343" t="s">
        <v>3804</v>
      </c>
      <c r="H16" s="343" t="s">
        <v>3805</v>
      </c>
      <c r="I16" s="392">
        <f>SUM(H17:H17)</f>
        <v>329300</v>
      </c>
    </row>
    <row r="17" spans="2:9">
      <c r="B17" s="372">
        <v>1</v>
      </c>
      <c r="C17" s="373" t="s">
        <v>4225</v>
      </c>
      <c r="D17" s="381">
        <v>30</v>
      </c>
      <c r="E17" s="374">
        <v>50</v>
      </c>
      <c r="F17" s="374" t="s">
        <v>4219</v>
      </c>
      <c r="G17" s="397">
        <f>1780*$J$3</f>
        <v>6586</v>
      </c>
      <c r="H17" s="375">
        <f>E17*G17</f>
        <v>329300</v>
      </c>
      <c r="I17" s="376"/>
    </row>
    <row r="18" spans="2:9" ht="6.6" customHeight="1">
      <c r="B18" s="377"/>
      <c r="C18" s="378"/>
      <c r="D18" s="378"/>
      <c r="E18" s="378"/>
      <c r="F18" s="377"/>
      <c r="G18" s="378"/>
      <c r="H18" s="378"/>
      <c r="I18" s="378"/>
    </row>
    <row r="19" spans="2:9">
      <c r="B19" s="3"/>
      <c r="F19" s="540" t="s">
        <v>26</v>
      </c>
      <c r="G19" s="541"/>
      <c r="H19" s="541"/>
      <c r="I19" s="398">
        <f>I16+I12</f>
        <v>403503.5</v>
      </c>
    </row>
    <row r="20" spans="2:9" ht="5.45" customHeight="1">
      <c r="B20" s="3"/>
      <c r="F20" s="3"/>
    </row>
    <row r="21" spans="2:9">
      <c r="B21" s="3"/>
      <c r="F21" s="3"/>
    </row>
    <row r="22" spans="2:9">
      <c r="B22" s="3"/>
      <c r="F22" s="3"/>
    </row>
    <row r="23" spans="2:9">
      <c r="B23" s="3"/>
      <c r="F23" s="3"/>
    </row>
    <row r="24" spans="2:9">
      <c r="B24" s="3"/>
      <c r="F24" s="3"/>
    </row>
    <row r="25" spans="2:9">
      <c r="B25" s="3"/>
      <c r="F25" s="3"/>
    </row>
    <row r="26" spans="2:9">
      <c r="B26" s="3"/>
      <c r="F26" s="3"/>
    </row>
  </sheetData>
  <mergeCells count="2">
    <mergeCell ref="F12:H12"/>
    <mergeCell ref="F19:H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4:L28"/>
  <sheetViews>
    <sheetView showGridLines="0" zoomScale="90" zoomScaleNormal="90" zoomScaleSheetLayoutView="100" workbookViewId="0">
      <selection activeCell="D20" sqref="D20:D21"/>
    </sheetView>
  </sheetViews>
  <sheetFormatPr baseColWidth="10" defaultColWidth="11.42578125" defaultRowHeight="15"/>
  <cols>
    <col min="1" max="1" width="1.5703125" style="2" customWidth="1"/>
    <col min="2" max="2" width="10.42578125" style="3" customWidth="1"/>
    <col min="3" max="3" width="62.5703125" style="2" customWidth="1"/>
    <col min="4" max="4" width="11.42578125" style="2"/>
    <col min="5" max="5" width="11.42578125" style="3"/>
    <col min="6" max="6" width="13.42578125" style="2" customWidth="1"/>
    <col min="7" max="7" width="15.85546875" style="2" customWidth="1"/>
    <col min="8" max="8" width="1.42578125" style="2" customWidth="1"/>
    <col min="9" max="9" width="1.5703125" style="2" customWidth="1"/>
    <col min="10" max="10" width="11.42578125" style="2"/>
    <col min="11" max="11" width="13.140625" style="2" bestFit="1" customWidth="1"/>
    <col min="12" max="16384" width="11.42578125" style="2"/>
  </cols>
  <sheetData>
    <row r="4" spans="2:12" ht="18.75">
      <c r="B4" s="46" t="s">
        <v>4226</v>
      </c>
      <c r="C4" s="32"/>
      <c r="D4" s="32"/>
      <c r="E4" s="32"/>
      <c r="F4" s="32"/>
      <c r="G4" s="32"/>
    </row>
    <row r="5" spans="2:12" s="34" customFormat="1">
      <c r="B5" s="32" t="s">
        <v>4227</v>
      </c>
      <c r="C5" s="33"/>
      <c r="D5" s="33"/>
      <c r="E5" s="33"/>
      <c r="F5" s="33"/>
      <c r="G5" s="33"/>
    </row>
    <row r="6" spans="2:12" s="34" customFormat="1" ht="12.75">
      <c r="B6" s="35" t="s">
        <v>32</v>
      </c>
      <c r="E6" s="36"/>
    </row>
    <row r="7" spans="2:12" ht="21.75" customHeight="1">
      <c r="B7" s="52" t="s">
        <v>4228</v>
      </c>
      <c r="C7" s="51" t="s">
        <v>34</v>
      </c>
      <c r="D7" s="52" t="s">
        <v>35</v>
      </c>
      <c r="E7" s="52" t="s">
        <v>36</v>
      </c>
      <c r="F7" s="52" t="s">
        <v>4229</v>
      </c>
      <c r="G7" s="52" t="s">
        <v>4230</v>
      </c>
      <c r="I7" s="83"/>
      <c r="J7" s="52" t="s">
        <v>4229</v>
      </c>
      <c r="K7" s="52" t="s">
        <v>24</v>
      </c>
    </row>
    <row r="8" spans="2:12">
      <c r="B8" s="22"/>
      <c r="C8" s="23" t="s">
        <v>4231</v>
      </c>
      <c r="D8" s="22"/>
      <c r="E8" s="22"/>
      <c r="F8" s="49"/>
      <c r="G8" s="49"/>
      <c r="I8" s="3"/>
      <c r="J8" s="49"/>
      <c r="K8" s="49"/>
    </row>
    <row r="9" spans="2:12">
      <c r="B9" s="22">
        <v>1</v>
      </c>
      <c r="C9" s="23" t="s">
        <v>4232</v>
      </c>
      <c r="D9" s="22"/>
      <c r="E9" s="22"/>
      <c r="F9" s="49"/>
      <c r="G9" s="49"/>
      <c r="J9" s="49"/>
      <c r="K9" s="49"/>
    </row>
    <row r="10" spans="2:12">
      <c r="B10" s="22">
        <v>1.02</v>
      </c>
      <c r="C10" s="24" t="s">
        <v>4233</v>
      </c>
      <c r="D10" s="22" t="s">
        <v>3792</v>
      </c>
      <c r="E10" s="22">
        <v>18</v>
      </c>
      <c r="F10" s="31">
        <f>J10*'RESUMEN OFERTA'!$H$7</f>
        <v>6052.5141503999994</v>
      </c>
      <c r="G10" s="57">
        <f>ROUND(F10*E10,2)</f>
        <v>108945.25</v>
      </c>
      <c r="I10" s="80"/>
      <c r="J10" s="57">
        <v>9440</v>
      </c>
      <c r="K10" s="57">
        <f>ROUND(J10*E10,2)</f>
        <v>169920</v>
      </c>
    </row>
    <row r="11" spans="2:12">
      <c r="B11" s="22">
        <v>2</v>
      </c>
      <c r="C11" s="23" t="s">
        <v>4234</v>
      </c>
      <c r="D11" s="22"/>
      <c r="E11" s="22"/>
      <c r="F11" s="57"/>
      <c r="G11" s="57"/>
      <c r="J11" s="57"/>
      <c r="K11" s="57"/>
    </row>
    <row r="12" spans="2:12">
      <c r="B12" s="22">
        <v>2.0099999999999998</v>
      </c>
      <c r="C12" s="24" t="s">
        <v>4235</v>
      </c>
      <c r="D12" s="22" t="s">
        <v>3792</v>
      </c>
      <c r="E12" s="22">
        <v>18</v>
      </c>
      <c r="F12" s="31">
        <f>J12*'RESUMEN OFERTA'!$H$7</f>
        <v>4539.3856127999998</v>
      </c>
      <c r="G12" s="57">
        <f>ROUND(F12*E12,2)</f>
        <v>81708.94</v>
      </c>
      <c r="J12" s="57">
        <v>7080</v>
      </c>
      <c r="K12" s="57">
        <f>ROUND(J12*E12,2)</f>
        <v>127440</v>
      </c>
    </row>
    <row r="13" spans="2:12">
      <c r="B13" s="22">
        <v>2</v>
      </c>
      <c r="C13" s="23" t="s">
        <v>4236</v>
      </c>
      <c r="D13" s="22"/>
      <c r="E13" s="22"/>
      <c r="F13" s="57"/>
      <c r="G13" s="57"/>
      <c r="J13" s="57"/>
      <c r="K13" s="57"/>
    </row>
    <row r="14" spans="2:12">
      <c r="B14" s="22">
        <v>2.02</v>
      </c>
      <c r="C14" s="24" t="s">
        <v>4237</v>
      </c>
      <c r="D14" s="22" t="s">
        <v>4238</v>
      </c>
      <c r="E14" s="22">
        <v>1</v>
      </c>
      <c r="F14" s="31">
        <f>J14*'RESUMEN OFERTA'!$H$7</f>
        <v>19670.6709888</v>
      </c>
      <c r="G14" s="57">
        <f>ROUND(F14*E14,2)</f>
        <v>19670.669999999998</v>
      </c>
      <c r="J14" s="57">
        <v>30680</v>
      </c>
      <c r="K14" s="57">
        <f>ROUND(J14*E14,2)</f>
        <v>30680</v>
      </c>
    </row>
    <row r="15" spans="2:12" ht="22.5" customHeight="1">
      <c r="B15" s="58" t="s">
        <v>4239</v>
      </c>
      <c r="C15" s="59"/>
      <c r="D15" s="59"/>
      <c r="E15" s="59"/>
      <c r="F15" s="60"/>
      <c r="G15" s="61">
        <f>SUM(G8:G14)</f>
        <v>210324.86</v>
      </c>
      <c r="I15" s="84"/>
      <c r="K15" s="61">
        <f>SUM(K8:K14)</f>
        <v>328040</v>
      </c>
      <c r="L15" s="106"/>
    </row>
    <row r="25" spans="3:7">
      <c r="E25" s="13"/>
    </row>
    <row r="26" spans="3:7">
      <c r="C26" s="14" t="str">
        <f>'RESUMEN OFERTA'!C35</f>
        <v>PATRICIO RICAURTE</v>
      </c>
    </row>
    <row r="27" spans="3:7">
      <c r="C27" s="16" t="str">
        <f>'RESUMEN OFERTA'!C36</f>
        <v>Representante Legal</v>
      </c>
      <c r="D27" s="17"/>
      <c r="F27" s="511">
        <f>'RESUMEN OFERTA'!D35</f>
        <v>45173</v>
      </c>
      <c r="G27" s="511"/>
    </row>
    <row r="28" spans="3:7">
      <c r="C28" s="16" t="str">
        <f>'RESUMEN OFERTA'!C37</f>
        <v>CONSORCIO RIO HUATANAY</v>
      </c>
      <c r="D28" s="15"/>
      <c r="E28" s="15"/>
    </row>
  </sheetData>
  <mergeCells count="1">
    <mergeCell ref="F27:G27"/>
  </mergeCells>
  <pageMargins left="0.70866141732283472" right="0.70866141732283472" top="0.74803149606299213" bottom="0.74803149606299213" header="0.31496062992125984" footer="0.31496062992125984"/>
  <pageSetup paperSize="9" orientation="landscape" verticalDpi="1200" r:id="rId1"/>
  <headerFooter>
    <oddFooter>&amp;R&amp;P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AL38"/>
  <sheetViews>
    <sheetView showGridLines="0" view="pageBreakPreview" topLeftCell="H1" zoomScaleNormal="100" zoomScaleSheetLayoutView="100" workbookViewId="0">
      <selection activeCell="D20" sqref="D20:D21"/>
    </sheetView>
  </sheetViews>
  <sheetFormatPr baseColWidth="10" defaultColWidth="11.42578125" defaultRowHeight="15" customHeight="1"/>
  <cols>
    <col min="1" max="1" width="1.85546875" style="2" customWidth="1"/>
    <col min="2" max="2" width="11.140625" style="3" customWidth="1"/>
    <col min="3" max="3" width="64.140625" style="2" customWidth="1"/>
    <col min="4" max="4" width="8" style="2" bestFit="1" customWidth="1"/>
    <col min="5" max="5" width="11.42578125" style="2"/>
    <col min="6" max="6" width="17.85546875" style="2" customWidth="1"/>
    <col min="7" max="7" width="17.85546875" style="3" customWidth="1"/>
    <col min="8" max="8" width="1.85546875" style="2" customWidth="1"/>
    <col min="9" max="9" width="1" style="2" customWidth="1"/>
    <col min="10" max="10" width="11.42578125" style="2"/>
    <col min="11" max="11" width="14" style="2" bestFit="1" customWidth="1"/>
    <col min="12" max="16" width="11.42578125" style="2"/>
    <col min="17" max="25" width="5.85546875" style="3" customWidth="1"/>
    <col min="26" max="27" width="6.85546875" style="3" customWidth="1"/>
    <col min="28" max="28" width="14.5703125" style="3" customWidth="1"/>
    <col min="29" max="38" width="5.85546875" style="3" customWidth="1"/>
    <col min="39" max="16384" width="11.42578125" style="2"/>
  </cols>
  <sheetData>
    <row r="3" spans="2:38" ht="15" customHeight="1">
      <c r="M3" s="3" t="s">
        <v>4240</v>
      </c>
      <c r="N3" s="3" t="s">
        <v>4241</v>
      </c>
    </row>
    <row r="4" spans="2:38" ht="15" customHeight="1">
      <c r="B4" s="46" t="s">
        <v>4242</v>
      </c>
      <c r="C4" s="47"/>
      <c r="D4" s="47"/>
      <c r="E4" s="47"/>
      <c r="F4" s="47"/>
      <c r="G4" s="47"/>
      <c r="L4" s="2" t="s">
        <v>4243</v>
      </c>
      <c r="M4" s="2">
        <v>144083</v>
      </c>
      <c r="N4" s="2">
        <v>2800000</v>
      </c>
      <c r="O4" s="2">
        <f>+M4/220</f>
        <v>654.92272727272723</v>
      </c>
      <c r="P4" s="2">
        <f>+O4/16</f>
        <v>40.932670454545452</v>
      </c>
    </row>
    <row r="5" spans="2:38" ht="15" customHeight="1">
      <c r="B5" s="45" t="s">
        <v>4227</v>
      </c>
      <c r="C5" s="45"/>
      <c r="D5" s="45"/>
      <c r="E5" s="45"/>
      <c r="F5" s="45"/>
      <c r="G5" s="45"/>
      <c r="L5" s="2" t="s">
        <v>4244</v>
      </c>
      <c r="M5" s="2">
        <v>95028.74</v>
      </c>
      <c r="N5" s="2">
        <v>2600000</v>
      </c>
      <c r="O5" s="2">
        <f>+M5/220</f>
        <v>431.94881818181818</v>
      </c>
      <c r="P5" s="2">
        <f>+O5/16</f>
        <v>26.996801136363636</v>
      </c>
    </row>
    <row r="6" spans="2:38" ht="15" customHeight="1">
      <c r="B6" s="37" t="s">
        <v>32</v>
      </c>
      <c r="L6" s="2" t="s">
        <v>4245</v>
      </c>
      <c r="M6" s="2">
        <v>45886.39</v>
      </c>
      <c r="N6" s="2">
        <v>1000000</v>
      </c>
      <c r="O6" s="2">
        <f>+M6/220</f>
        <v>208.5745</v>
      </c>
      <c r="P6" s="2">
        <f>+O6/16</f>
        <v>13.03590625</v>
      </c>
    </row>
    <row r="7" spans="2:38" ht="21.75" customHeight="1">
      <c r="B7" s="62" t="s">
        <v>4246</v>
      </c>
      <c r="C7" s="62" t="s">
        <v>4247</v>
      </c>
      <c r="D7" s="62" t="s">
        <v>35</v>
      </c>
      <c r="E7" s="62" t="s">
        <v>4248</v>
      </c>
      <c r="F7" s="62" t="s">
        <v>4229</v>
      </c>
      <c r="G7" s="62" t="s">
        <v>4230</v>
      </c>
      <c r="I7" s="83"/>
      <c r="J7" s="52" t="s">
        <v>4229</v>
      </c>
      <c r="K7" s="52" t="s">
        <v>24</v>
      </c>
      <c r="M7" s="2">
        <f>+M6+M5+M4</f>
        <v>284998.13</v>
      </c>
      <c r="N7" s="2">
        <f>+N6+N5+N4</f>
        <v>6400000</v>
      </c>
      <c r="P7" s="2">
        <f>+P6+P5+P4</f>
        <v>80.965377840909099</v>
      </c>
    </row>
    <row r="8" spans="2:38" ht="15" customHeight="1">
      <c r="B8" s="38">
        <v>1</v>
      </c>
      <c r="C8" s="39" t="s">
        <v>4249</v>
      </c>
      <c r="D8" s="40"/>
      <c r="E8" s="40"/>
      <c r="F8" s="41"/>
      <c r="G8" s="41"/>
      <c r="I8" s="3"/>
      <c r="J8" s="49"/>
      <c r="K8" s="49"/>
    </row>
    <row r="9" spans="2:38" ht="15" customHeight="1">
      <c r="B9" s="38">
        <v>1.1000000000000001</v>
      </c>
      <c r="C9" s="39" t="s">
        <v>4250</v>
      </c>
      <c r="D9" s="40"/>
      <c r="E9" s="40"/>
      <c r="F9" s="41"/>
      <c r="G9" s="41"/>
      <c r="J9" s="49"/>
      <c r="K9" s="49"/>
      <c r="P9" s="2">
        <f>+P7*16</f>
        <v>1295.4460454545456</v>
      </c>
      <c r="Q9" s="3">
        <f>+P9*220</f>
        <v>284998.13</v>
      </c>
      <c r="R9" s="3">
        <f>+Q9*6.5*3.7</f>
        <v>6854205.0265000006</v>
      </c>
    </row>
    <row r="10" spans="2:38" ht="15" customHeight="1">
      <c r="B10" s="38" t="s">
        <v>4251</v>
      </c>
      <c r="C10" s="107" t="s">
        <v>4252</v>
      </c>
      <c r="D10" s="38" t="s">
        <v>4253</v>
      </c>
      <c r="E10" s="38">
        <v>18</v>
      </c>
      <c r="F10" s="31">
        <f>J10*'RESUMEN OFERTA'!$H$7</f>
        <v>1891.410672</v>
      </c>
      <c r="G10" s="41">
        <f>ROUND(F10*E10,2)</f>
        <v>34045.39</v>
      </c>
      <c r="I10" s="80"/>
      <c r="J10" s="41">
        <v>2950</v>
      </c>
      <c r="K10" s="57">
        <f>ROUND(J10*E10,2)</f>
        <v>53100</v>
      </c>
      <c r="Q10" s="25" t="s">
        <v>4045</v>
      </c>
      <c r="R10" s="25" t="s">
        <v>4046</v>
      </c>
      <c r="S10" s="25" t="s">
        <v>4047</v>
      </c>
      <c r="T10" s="25" t="s">
        <v>4048</v>
      </c>
      <c r="U10" s="25" t="s">
        <v>4049</v>
      </c>
      <c r="V10" s="25" t="s">
        <v>4050</v>
      </c>
      <c r="W10" s="25" t="s">
        <v>4051</v>
      </c>
      <c r="X10" s="25" t="s">
        <v>4052</v>
      </c>
      <c r="Y10" s="25" t="s">
        <v>26</v>
      </c>
      <c r="Z10" s="25" t="s">
        <v>4254</v>
      </c>
      <c r="AA10" s="25" t="s">
        <v>4255</v>
      </c>
      <c r="AB10" s="25" t="s">
        <v>4256</v>
      </c>
      <c r="AC10" s="25" t="s">
        <v>4053</v>
      </c>
      <c r="AD10" s="25" t="s">
        <v>4054</v>
      </c>
      <c r="AE10" s="25" t="s">
        <v>4055</v>
      </c>
      <c r="AF10" s="25" t="s">
        <v>4056</v>
      </c>
      <c r="AG10" s="25" t="s">
        <v>4057</v>
      </c>
      <c r="AH10" s="25" t="s">
        <v>4058</v>
      </c>
      <c r="AI10" s="25" t="s">
        <v>4059</v>
      </c>
      <c r="AJ10" s="25" t="s">
        <v>4060</v>
      </c>
      <c r="AK10" s="25" t="s">
        <v>4061</v>
      </c>
      <c r="AL10" s="25" t="s">
        <v>4062</v>
      </c>
    </row>
    <row r="11" spans="2:38" ht="15" customHeight="1">
      <c r="B11" s="38">
        <v>1.2</v>
      </c>
      <c r="C11" s="42" t="s">
        <v>4257</v>
      </c>
      <c r="D11" s="40"/>
      <c r="E11" s="40"/>
      <c r="F11" s="41"/>
      <c r="G11" s="41"/>
      <c r="J11" s="41"/>
      <c r="K11" s="57"/>
      <c r="P11" s="2" t="s">
        <v>4258</v>
      </c>
      <c r="Q11" s="25">
        <v>15</v>
      </c>
      <c r="R11" s="25">
        <v>20</v>
      </c>
      <c r="S11" s="25">
        <v>20</v>
      </c>
      <c r="T11" s="25">
        <v>20</v>
      </c>
      <c r="U11" s="25">
        <v>20</v>
      </c>
      <c r="V11" s="25"/>
      <c r="W11" s="25"/>
      <c r="X11" s="25"/>
      <c r="Y11" s="25">
        <f>+SUM(Q11:X11)</f>
        <v>95</v>
      </c>
      <c r="Z11" s="25">
        <v>220</v>
      </c>
      <c r="AA11" s="25">
        <f>6*3.7</f>
        <v>22.200000000000003</v>
      </c>
      <c r="AB11" s="119">
        <f>+AA11*Z11*Y11</f>
        <v>463980.00000000006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2:38" ht="30">
      <c r="B12" s="38" t="s">
        <v>4259</v>
      </c>
      <c r="C12" s="108" t="s">
        <v>4260</v>
      </c>
      <c r="D12" s="38" t="s">
        <v>4253</v>
      </c>
      <c r="E12" s="38">
        <v>18</v>
      </c>
      <c r="F12" s="31">
        <f>J12*'RESUMEN OFERTA'!$H$7</f>
        <v>2269.6928063999999</v>
      </c>
      <c r="G12" s="41">
        <f>ROUND(F12*E12,2)</f>
        <v>40854.47</v>
      </c>
      <c r="I12" s="80"/>
      <c r="J12" s="41">
        <v>3540</v>
      </c>
      <c r="K12" s="57">
        <f>ROUND(J12*E12,2)</f>
        <v>63720</v>
      </c>
      <c r="P12" s="2" t="s">
        <v>4261</v>
      </c>
      <c r="Q12" s="25"/>
      <c r="R12" s="25">
        <v>15</v>
      </c>
      <c r="S12" s="25">
        <v>30</v>
      </c>
      <c r="T12" s="25">
        <v>30</v>
      </c>
      <c r="U12" s="25">
        <v>30</v>
      </c>
      <c r="V12" s="25">
        <v>30</v>
      </c>
      <c r="W12" s="25">
        <v>30</v>
      </c>
      <c r="X12" s="25">
        <v>30</v>
      </c>
      <c r="Y12" s="25">
        <f>+SUM(Q12:X12)</f>
        <v>195</v>
      </c>
      <c r="Z12" s="25">
        <v>220</v>
      </c>
      <c r="AA12" s="25">
        <f>6*3.7</f>
        <v>22.200000000000003</v>
      </c>
      <c r="AB12" s="119">
        <f>+AA12*Z12*Y12</f>
        <v>952380.00000000023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2:38">
      <c r="B13" s="38" t="s">
        <v>4262</v>
      </c>
      <c r="C13" s="108" t="s">
        <v>4263</v>
      </c>
      <c r="D13" s="38" t="s">
        <v>287</v>
      </c>
      <c r="E13" s="38">
        <v>9</v>
      </c>
      <c r="F13" s="31">
        <f>J13*'RESUMEN OFERTA'!$H$7</f>
        <v>3782.821344</v>
      </c>
      <c r="G13" s="41">
        <f>ROUND(F13*E13,2)</f>
        <v>34045.39</v>
      </c>
      <c r="I13" s="80"/>
      <c r="J13" s="41">
        <v>5900</v>
      </c>
      <c r="K13" s="57">
        <f>ROUND(J13*E13,2)</f>
        <v>53100</v>
      </c>
      <c r="P13" s="2" t="s">
        <v>4264</v>
      </c>
      <c r="Q13" s="25"/>
      <c r="R13" s="25">
        <v>10</v>
      </c>
      <c r="S13" s="25">
        <v>10</v>
      </c>
      <c r="T13" s="25">
        <v>20</v>
      </c>
      <c r="U13" s="25">
        <v>20</v>
      </c>
      <c r="V13" s="25">
        <v>20</v>
      </c>
      <c r="W13" s="25">
        <v>20</v>
      </c>
      <c r="X13" s="25"/>
      <c r="Y13" s="25">
        <f>+SUM(Q13:X13)</f>
        <v>100</v>
      </c>
      <c r="Z13" s="25">
        <v>220</v>
      </c>
      <c r="AA13" s="25">
        <f>6*3.7</f>
        <v>22.200000000000003</v>
      </c>
      <c r="AB13" s="119">
        <f>+AA13*Z13*Y13</f>
        <v>488400.00000000012</v>
      </c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2:38">
      <c r="B14" s="38" t="s">
        <v>4265</v>
      </c>
      <c r="C14" s="108" t="s">
        <v>4266</v>
      </c>
      <c r="D14" s="38" t="s">
        <v>4253</v>
      </c>
      <c r="E14" s="38">
        <v>18</v>
      </c>
      <c r="F14" s="31">
        <f>J14*'RESUMEN OFERTA'!$H$7</f>
        <v>4539.3856127999998</v>
      </c>
      <c r="G14" s="41">
        <f>ROUND(F14*E14,2)</f>
        <v>81708.94</v>
      </c>
      <c r="I14" s="80"/>
      <c r="J14" s="41">
        <v>7080</v>
      </c>
      <c r="K14" s="57">
        <f>ROUND(J14*E14,2)</f>
        <v>127440</v>
      </c>
      <c r="P14" s="2" t="s">
        <v>26</v>
      </c>
      <c r="Q14" s="25">
        <f>+SUM(Q11:Q13)</f>
        <v>15</v>
      </c>
      <c r="R14" s="25">
        <f>+SUM(R11:R13)</f>
        <v>45</v>
      </c>
      <c r="S14" s="25">
        <f t="shared" ref="S14:AL14" si="0">+SUM(S11:S13)</f>
        <v>60</v>
      </c>
      <c r="T14" s="25">
        <f t="shared" si="0"/>
        <v>70</v>
      </c>
      <c r="U14" s="25">
        <f t="shared" si="0"/>
        <v>70</v>
      </c>
      <c r="V14" s="25">
        <f t="shared" si="0"/>
        <v>50</v>
      </c>
      <c r="W14" s="25">
        <f t="shared" si="0"/>
        <v>50</v>
      </c>
      <c r="X14" s="25">
        <f t="shared" si="0"/>
        <v>30</v>
      </c>
      <c r="Y14" s="25"/>
      <c r="Z14" s="25"/>
      <c r="AA14" s="25"/>
      <c r="AB14" s="119">
        <f t="shared" si="0"/>
        <v>1904760.0000000005</v>
      </c>
      <c r="AC14" s="25">
        <f t="shared" si="0"/>
        <v>0</v>
      </c>
      <c r="AD14" s="25">
        <f t="shared" si="0"/>
        <v>0</v>
      </c>
      <c r="AE14" s="25">
        <f t="shared" si="0"/>
        <v>0</v>
      </c>
      <c r="AF14" s="25">
        <f t="shared" si="0"/>
        <v>0</v>
      </c>
      <c r="AG14" s="25">
        <f t="shared" si="0"/>
        <v>0</v>
      </c>
      <c r="AH14" s="25">
        <f t="shared" si="0"/>
        <v>0</v>
      </c>
      <c r="AI14" s="25">
        <f t="shared" si="0"/>
        <v>0</v>
      </c>
      <c r="AJ14" s="25">
        <f t="shared" si="0"/>
        <v>0</v>
      </c>
      <c r="AK14" s="25">
        <f t="shared" si="0"/>
        <v>0</v>
      </c>
      <c r="AL14" s="25">
        <f t="shared" si="0"/>
        <v>0</v>
      </c>
    </row>
    <row r="15" spans="2:38" ht="30">
      <c r="B15" s="109">
        <v>1.3</v>
      </c>
      <c r="C15" s="42" t="s">
        <v>4267</v>
      </c>
      <c r="D15" s="40"/>
      <c r="E15" s="40"/>
      <c r="F15" s="41"/>
      <c r="G15" s="41"/>
      <c r="I15" s="84"/>
      <c r="J15" s="41"/>
      <c r="K15" s="84"/>
      <c r="L15" s="84"/>
      <c r="M15" s="84"/>
    </row>
    <row r="16" spans="2:38" ht="15" customHeight="1">
      <c r="B16" s="38" t="s">
        <v>4268</v>
      </c>
      <c r="C16" s="110" t="s">
        <v>4269</v>
      </c>
      <c r="D16" s="38" t="s">
        <v>287</v>
      </c>
      <c r="E16" s="38">
        <v>50</v>
      </c>
      <c r="F16" s="31">
        <f>J16*'RESUMEN OFERTA'!$H$7</f>
        <v>756.56426879999992</v>
      </c>
      <c r="G16" s="41">
        <f t="shared" ref="G16:G23" si="1">ROUND(F16*E16,2)</f>
        <v>37828.21</v>
      </c>
      <c r="I16" s="80"/>
      <c r="J16" s="41">
        <v>1180</v>
      </c>
      <c r="K16" s="57">
        <f t="shared" ref="K16:K25" si="2">ROUND(J16*E16,2)</f>
        <v>59000</v>
      </c>
    </row>
    <row r="17" spans="2:11" ht="15" customHeight="1">
      <c r="B17" s="38" t="s">
        <v>4270</v>
      </c>
      <c r="C17" s="110" t="s">
        <v>4271</v>
      </c>
      <c r="D17" s="38" t="s">
        <v>287</v>
      </c>
      <c r="E17" s="38">
        <v>50</v>
      </c>
      <c r="F17" s="31">
        <f>J17*'RESUMEN OFERTA'!$H$7</f>
        <v>756.56426879999992</v>
      </c>
      <c r="G17" s="41">
        <f t="shared" si="1"/>
        <v>37828.21</v>
      </c>
      <c r="I17" s="80"/>
      <c r="J17" s="41">
        <v>1180</v>
      </c>
      <c r="K17" s="57">
        <f t="shared" si="2"/>
        <v>59000</v>
      </c>
    </row>
    <row r="18" spans="2:11" ht="15" customHeight="1">
      <c r="B18" s="38" t="s">
        <v>4272</v>
      </c>
      <c r="C18" s="110" t="s">
        <v>4273</v>
      </c>
      <c r="D18" s="38" t="s">
        <v>287</v>
      </c>
      <c r="E18" s="38">
        <v>50</v>
      </c>
      <c r="F18" s="31">
        <f>J18*'RESUMEN OFERTA'!$H$7</f>
        <v>756.56426879999992</v>
      </c>
      <c r="G18" s="41">
        <f t="shared" si="1"/>
        <v>37828.21</v>
      </c>
      <c r="I18" s="80"/>
      <c r="J18" s="41">
        <v>1180</v>
      </c>
      <c r="K18" s="57">
        <f t="shared" si="2"/>
        <v>59000</v>
      </c>
    </row>
    <row r="19" spans="2:11" ht="15" customHeight="1">
      <c r="B19" s="38" t="s">
        <v>4274</v>
      </c>
      <c r="C19" s="110" t="s">
        <v>4275</v>
      </c>
      <c r="D19" s="38" t="s">
        <v>287</v>
      </c>
      <c r="E19" s="38">
        <v>50</v>
      </c>
      <c r="F19" s="31">
        <f>J19*'RESUMEN OFERTA'!$H$7</f>
        <v>756.56426879999992</v>
      </c>
      <c r="G19" s="41">
        <f t="shared" si="1"/>
        <v>37828.21</v>
      </c>
      <c r="I19" s="80"/>
      <c r="J19" s="41">
        <v>1180</v>
      </c>
      <c r="K19" s="57">
        <f t="shared" si="2"/>
        <v>59000</v>
      </c>
    </row>
    <row r="20" spans="2:11" ht="15" customHeight="1">
      <c r="B20" s="38" t="s">
        <v>4276</v>
      </c>
      <c r="C20" s="110" t="s">
        <v>4277</v>
      </c>
      <c r="D20" s="38" t="s">
        <v>287</v>
      </c>
      <c r="E20" s="38">
        <v>50</v>
      </c>
      <c r="F20" s="31">
        <f>J20*'RESUMEN OFERTA'!$H$7</f>
        <v>756.56426879999992</v>
      </c>
      <c r="G20" s="41">
        <f t="shared" si="1"/>
        <v>37828.21</v>
      </c>
      <c r="I20" s="80"/>
      <c r="J20" s="41">
        <v>1180</v>
      </c>
      <c r="K20" s="57">
        <f t="shared" si="2"/>
        <v>59000</v>
      </c>
    </row>
    <row r="21" spans="2:11" ht="15" customHeight="1">
      <c r="B21" s="38" t="s">
        <v>4278</v>
      </c>
      <c r="C21" s="42" t="s">
        <v>4279</v>
      </c>
      <c r="D21" s="38" t="s">
        <v>287</v>
      </c>
      <c r="E21" s="38">
        <v>50</v>
      </c>
      <c r="F21" s="31">
        <f>J21*'RESUMEN OFERTA'!$H$7</f>
        <v>756.56426879999992</v>
      </c>
      <c r="G21" s="41">
        <f t="shared" si="1"/>
        <v>37828.21</v>
      </c>
      <c r="I21" s="80"/>
      <c r="J21" s="41">
        <v>1180</v>
      </c>
      <c r="K21" s="57">
        <f t="shared" si="2"/>
        <v>59000</v>
      </c>
    </row>
    <row r="22" spans="2:11" ht="15" customHeight="1">
      <c r="B22" s="38" t="s">
        <v>4280</v>
      </c>
      <c r="C22" s="42" t="s">
        <v>4281</v>
      </c>
      <c r="D22" s="38" t="s">
        <v>287</v>
      </c>
      <c r="E22" s="38">
        <v>50</v>
      </c>
      <c r="F22" s="31">
        <f>J22*'RESUMEN OFERTA'!$H$7</f>
        <v>756.56426879999992</v>
      </c>
      <c r="G22" s="41">
        <f t="shared" si="1"/>
        <v>37828.21</v>
      </c>
      <c r="I22" s="80"/>
      <c r="J22" s="41">
        <v>1180</v>
      </c>
      <c r="K22" s="57">
        <f t="shared" si="2"/>
        <v>59000</v>
      </c>
    </row>
    <row r="23" spans="2:11" ht="15" customHeight="1">
      <c r="B23" s="38" t="s">
        <v>4282</v>
      </c>
      <c r="C23" s="42" t="s">
        <v>4283</v>
      </c>
      <c r="D23" s="38" t="s">
        <v>287</v>
      </c>
      <c r="E23" s="38">
        <v>50</v>
      </c>
      <c r="F23" s="31">
        <f>J23*'RESUMEN OFERTA'!$H$7</f>
        <v>756.56426879999992</v>
      </c>
      <c r="G23" s="41">
        <f t="shared" si="1"/>
        <v>37828.21</v>
      </c>
      <c r="I23" s="80"/>
      <c r="J23" s="41">
        <v>1180</v>
      </c>
      <c r="K23" s="57">
        <f t="shared" si="2"/>
        <v>59000</v>
      </c>
    </row>
    <row r="24" spans="2:11" ht="15" customHeight="1">
      <c r="B24" s="109">
        <v>1.8</v>
      </c>
      <c r="C24" s="42" t="s">
        <v>4284</v>
      </c>
      <c r="D24" s="40"/>
      <c r="E24" s="40"/>
      <c r="F24" s="41"/>
      <c r="G24" s="41"/>
      <c r="J24" s="41"/>
      <c r="K24" s="57">
        <f t="shared" si="2"/>
        <v>0</v>
      </c>
    </row>
    <row r="25" spans="2:11" ht="15" customHeight="1">
      <c r="B25" s="43" t="s">
        <v>4285</v>
      </c>
      <c r="C25" s="44" t="s">
        <v>4286</v>
      </c>
      <c r="D25" s="43" t="s">
        <v>43</v>
      </c>
      <c r="E25" s="43">
        <v>2</v>
      </c>
      <c r="F25" s="31">
        <f>J25*'RESUMEN OFERTA'!$H$7</f>
        <v>378.28213439999996</v>
      </c>
      <c r="G25" s="41">
        <f>ROUND(F25*E25,2)</f>
        <v>756.56</v>
      </c>
      <c r="I25" s="80"/>
      <c r="J25" s="41">
        <v>590</v>
      </c>
      <c r="K25" s="57">
        <f t="shared" si="2"/>
        <v>1180</v>
      </c>
    </row>
    <row r="26" spans="2:11" ht="22.5" customHeight="1">
      <c r="B26" s="63" t="s">
        <v>4287</v>
      </c>
      <c r="C26" s="64"/>
      <c r="D26" s="64"/>
      <c r="E26" s="64"/>
      <c r="F26" s="65"/>
      <c r="G26" s="48">
        <f>SUM(G8:G25)</f>
        <v>494036.43000000011</v>
      </c>
      <c r="I26" s="84">
        <f>SUMPRODUCT($E$9:$E$25,I9:I25)</f>
        <v>0</v>
      </c>
      <c r="K26" s="57">
        <f>SUM(K8:K25)</f>
        <v>770540</v>
      </c>
    </row>
    <row r="28" spans="2:11" ht="15" customHeight="1">
      <c r="E28" s="3"/>
    </row>
    <row r="29" spans="2:11" ht="15" customHeight="1">
      <c r="E29" s="3"/>
    </row>
    <row r="30" spans="2:11" ht="15" customHeight="1">
      <c r="E30" s="3"/>
    </row>
    <row r="31" spans="2:11" ht="15" customHeight="1">
      <c r="E31" s="3"/>
    </row>
    <row r="32" spans="2:11" ht="15" customHeight="1">
      <c r="E32" s="3"/>
    </row>
    <row r="33" spans="3:7" ht="15" customHeight="1">
      <c r="E33" s="3"/>
    </row>
    <row r="34" spans="3:7" ht="15" customHeight="1">
      <c r="E34" s="3"/>
    </row>
    <row r="35" spans="3:7" ht="15" customHeight="1">
      <c r="E35" s="13"/>
    </row>
    <row r="36" spans="3:7" ht="15" customHeight="1">
      <c r="C36" s="14" t="str">
        <f>'RESUMEN OFERTA'!C35</f>
        <v>PATRICIO RICAURTE</v>
      </c>
    </row>
    <row r="37" spans="3:7" ht="15" customHeight="1">
      <c r="C37" s="16" t="str">
        <f>'RESUMEN OFERTA'!C36</f>
        <v>Representante Legal</v>
      </c>
      <c r="D37" s="17"/>
      <c r="E37" s="3"/>
      <c r="F37" s="511">
        <f>'RESUMEN OFERTA'!D35</f>
        <v>45173</v>
      </c>
      <c r="G37" s="511"/>
    </row>
    <row r="38" spans="3:7" ht="15" customHeight="1">
      <c r="C38" s="16" t="str">
        <f>'RESUMEN OFERTA'!C37</f>
        <v>CONSORCIO RIO HUATANAY</v>
      </c>
      <c r="D38" s="15"/>
      <c r="E38" s="15"/>
    </row>
  </sheetData>
  <mergeCells count="1">
    <mergeCell ref="F37:G37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1200" verticalDpi="1200" r:id="rId1"/>
  <headerFooter>
    <oddFooter>&amp;R&amp;P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63b543-9706-4567-a217-d574ff2bef96">
      <Terms xmlns="http://schemas.microsoft.com/office/infopath/2007/PartnerControls"/>
    </lcf76f155ced4ddcb4097134ff3c332f>
    <TaxCatchAll xmlns="76b52028-4491-4b9e-92d3-6c3318d266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C146084E2D26478F1D65E7C7E9FBB2" ma:contentTypeVersion="16" ma:contentTypeDescription="Crie um novo documento." ma:contentTypeScope="" ma:versionID="b4577d75cf7ba32c8434123d833c9b67">
  <xsd:schema xmlns:xsd="http://www.w3.org/2001/XMLSchema" xmlns:xs="http://www.w3.org/2001/XMLSchema" xmlns:p="http://schemas.microsoft.com/office/2006/metadata/properties" xmlns:ns2="76b52028-4491-4b9e-92d3-6c3318d266bf" xmlns:ns3="fd63b543-9706-4567-a217-d574ff2bef96" targetNamespace="http://schemas.microsoft.com/office/2006/metadata/properties" ma:root="true" ma:fieldsID="3424f724d3a37fd1701344e767ffc652" ns2:_="" ns3:_="">
    <xsd:import namespace="76b52028-4491-4b9e-92d3-6c3318d266bf"/>
    <xsd:import namespace="fd63b543-9706-4567-a217-d574ff2bef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2028-4491-4b9e-92d3-6c3318d266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494faed-acff-411b-a006-1e6c937da81b}" ma:internalName="TaxCatchAll" ma:showField="CatchAllData" ma:web="76b52028-4491-4b9e-92d3-6c3318d26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b543-9706-4567-a217-d574ff2be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c6e92563-5d59-4a60-b8e5-1868d308e2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4C8B9-3407-41A5-903E-104B5152DC2E}">
  <ds:schemaRefs>
    <ds:schemaRef ds:uri="http://schemas.microsoft.com/office/2006/metadata/properties"/>
    <ds:schemaRef ds:uri="http://schemas.microsoft.com/office/infopath/2007/PartnerControls"/>
    <ds:schemaRef ds:uri="e2deee7f-6bda-4553-862c-f4fb20b6700a"/>
    <ds:schemaRef ds:uri="33d7736e-6e91-4a4b-abdd-039dd813a9e4"/>
  </ds:schemaRefs>
</ds:datastoreItem>
</file>

<file path=customXml/itemProps2.xml><?xml version="1.0" encoding="utf-8"?>
<ds:datastoreItem xmlns:ds="http://schemas.openxmlformats.org/officeDocument/2006/customXml" ds:itemID="{B70F3A8C-079D-4864-9441-4620D5850D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903A7-09E8-42A5-A471-D3EBDFB6B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RESUMEN OFERTA</vt:lpstr>
      <vt:lpstr>Planilla de Cierre - META</vt:lpstr>
      <vt:lpstr>Indirectos Revisado</vt:lpstr>
      <vt:lpstr>Permanencia Staff</vt:lpstr>
      <vt:lpstr>CONTINGENCIAS</vt:lpstr>
      <vt:lpstr>Campamento</vt:lpstr>
      <vt:lpstr>Movilizacion</vt:lpstr>
      <vt:lpstr>PMA</vt:lpstr>
      <vt:lpstr>INT SOCIAL</vt:lpstr>
      <vt:lpstr>GEST AMBIENTAL</vt:lpstr>
      <vt:lpstr>PSSO</vt:lpstr>
      <vt:lpstr>PLAN GSMT</vt:lpstr>
      <vt:lpstr>ORG. PROYECTO</vt:lpstr>
      <vt:lpstr>Alcances-Actualiz. PPTO</vt:lpstr>
      <vt:lpstr>PMA!_Hlk121440665</vt:lpstr>
      <vt:lpstr>'Planilla de Cierre - META'!_Toc67484983</vt:lpstr>
      <vt:lpstr>'Alcances-Actualiz. PPTO'!Área_de_impresión</vt:lpstr>
      <vt:lpstr>'GEST AMBIENTAL'!Área_de_impresión</vt:lpstr>
      <vt:lpstr>'Indirectos Revisado'!Área_de_impresión</vt:lpstr>
      <vt:lpstr>'INT SOCIAL'!Área_de_impresión</vt:lpstr>
      <vt:lpstr>'ORG. PROYECTO'!Área_de_impresión</vt:lpstr>
      <vt:lpstr>'Permanencia Staff'!Área_de_impresión</vt:lpstr>
      <vt:lpstr>'PLAN GSMT'!Área_de_impresión</vt:lpstr>
      <vt:lpstr>'Planilla de Cierre - META'!Área_de_impresión</vt:lpstr>
      <vt:lpstr>PMA!Área_de_impresión</vt:lpstr>
      <vt:lpstr>PSSO!Área_de_impresión</vt:lpstr>
      <vt:lpstr>'RESUMEN OFERTA'!Área_de_impresión</vt:lpstr>
      <vt:lpstr>'GEST AMBIENTAL'!Títulos_a_imprimir</vt:lpstr>
      <vt:lpstr>'Planilla de Cierre - META'!Títulos_a_imprimir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Haby GARCIA</dc:creator>
  <cp:keywords/>
  <dc:description/>
  <cp:lastModifiedBy>Fernando Cubas M.</cp:lastModifiedBy>
  <cp:revision/>
  <dcterms:created xsi:type="dcterms:W3CDTF">2023-04-17T20:22:08Z</dcterms:created>
  <dcterms:modified xsi:type="dcterms:W3CDTF">2026-04-29T19:04:36Z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0x01010058C146084E2D26478F1D65E7C7E9FBB2</vt:lpwstr>
  </property>
  <property fmtid="{D5CDD505-2E9C-101B-9397-08002B2CF9AE}" pid="3" name="MediaServiceImageTags">
    <vt:lpwstr/>
  </property>
</Properties>
</file>